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95" windowHeight="1275" firstSheet="1" activeTab="3"/>
  </bookViews>
  <sheets>
    <sheet name="Zákaznícke služby" sheetId="1" r:id="rId1"/>
    <sheet name="Palubné jednotky" sheetId="2" r:id="rId2"/>
    <sheet name="Agenda SVM" sheetId="3" r:id="rId3"/>
    <sheet name="Vyhodnotenie" sheetId="4" r:id="rId4"/>
    <sheet name="Vstupy_CBA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Ref40180669" localSheetId="0">'Zákaznícke služby'!$B$33</definedName>
    <definedName name="_Ref40180689" localSheetId="0">'Zákaznícke služby'!$B$34</definedName>
    <definedName name="_Ref40180697" localSheetId="0">'Zákaznícke služby'!$B$35</definedName>
    <definedName name="_Ref40180719" localSheetId="0">'Zákaznícke služby'!$B$36</definedName>
    <definedName name="_Ref40180731" localSheetId="0">'Zákaznícke služby'!$B$37</definedName>
    <definedName name="_Ref40180739" localSheetId="0">'Zákaznícke služby'!$B$38</definedName>
    <definedName name="_Ref40180752" localSheetId="0">'Zákaznícke služby'!$B$39</definedName>
    <definedName name="_Ref40180764" localSheetId="0">'Zákaznícke služby'!$B$40</definedName>
    <definedName name="_Ref40180786" localSheetId="0">'Zákaznícke služby'!$B$41</definedName>
    <definedName name="_Ref40191079" localSheetId="0">'Zákaznícke služby'!$B$29</definedName>
    <definedName name="_Ref40191220" localSheetId="0">'Zákaznícke služby'!$B$42</definedName>
    <definedName name="_Ref40242477" localSheetId="0">'Zákaznícke služby'!$B$154</definedName>
    <definedName name="_Ref40242485" localSheetId="0">'Zákaznícke služby'!$B$155</definedName>
    <definedName name="_Ref40242499" localSheetId="0">'Zákaznícke služby'!$B$170</definedName>
    <definedName name="_Ref40242513" localSheetId="0">'Zákaznícke služby'!$B$156</definedName>
    <definedName name="_Ref40242521" localSheetId="0">'Zákaznícke služby'!$B$157</definedName>
    <definedName name="_Ref40242536" localSheetId="0">'Zákaznícke služby'!$B$158</definedName>
    <definedName name="_Ref40242545" localSheetId="0">'Zákaznícke služby'!$B$159</definedName>
    <definedName name="_Ref40242550" localSheetId="0">'Zákaznícke služby'!$B$160</definedName>
    <definedName name="_Ref40242561" localSheetId="0">'Zákaznícke služby'!$B$161</definedName>
    <definedName name="_Ref40242569" localSheetId="0">'Zákaznícke služby'!$B$162</definedName>
    <definedName name="_Ref40242603" localSheetId="0">'Zákaznícke služby'!$B$169</definedName>
    <definedName name="_Ref40242626" localSheetId="0">'Zákaznícke služby'!$B$163</definedName>
    <definedName name="_Ref40242646" localSheetId="0">'Zákaznícke služby'!$B$164</definedName>
    <definedName name="_Ref40242653" localSheetId="0">'Zákaznícke služby'!$B$165</definedName>
    <definedName name="_Ref40242659" localSheetId="0">'Zákaznícke služby'!$B$166</definedName>
    <definedName name="_Ref40242667" localSheetId="0">'Zákaznícke služby'!$B$167</definedName>
    <definedName name="_Ref40242694" localSheetId="0">'Zákaznícke služby'!$B$168</definedName>
    <definedName name="_Ref40259344" localSheetId="1">'Palubné jednotky'!#REF!</definedName>
    <definedName name="_Ref40259354" localSheetId="1">'Palubné jednotky'!#REF!</definedName>
    <definedName name="_Ref40259362" localSheetId="1">'Palubné jednotky'!#REF!</definedName>
    <definedName name="_Ref40262440" localSheetId="1">'Palubné jednotky'!#REF!</definedName>
    <definedName name="_Ref40262446" localSheetId="1">'Palubné jednotky'!#REF!</definedName>
    <definedName name="_Ref40262455" localSheetId="1">'Palubné jednotky'!#REF!</definedName>
    <definedName name="_Ref40262461" localSheetId="1">'Palubné jednotky'!#REF!</definedName>
    <definedName name="_Ref40262540" localSheetId="1">'Palubné jednotky'!#REF!</definedName>
    <definedName name="_Ref40262547" localSheetId="1">'Palubné jednotky'!#REF!</definedName>
    <definedName name="_Ref40262558" localSheetId="1">'Palubné jednotky'!#REF!</definedName>
    <definedName name="_Ref40262566" localSheetId="1">'Palubné jednotky'!#REF!</definedName>
    <definedName name="_Ref40262575" localSheetId="1">'Palubné jednotky'!#REF!</definedName>
    <definedName name="_Ref40262607" localSheetId="1">'Palubné jednotky'!#REF!</definedName>
    <definedName name="_Ref40262615" localSheetId="1">'Palubné jednotky'!#REF!</definedName>
    <definedName name="_Ref40262629" localSheetId="1">'Palubné jednotky'!#REF!</definedName>
    <definedName name="_Ref40262634" localSheetId="1">'Palubné jednotky'!#REF!</definedName>
    <definedName name="_Ref40262641" localSheetId="1">'Palubné jednotky'!#REF!</definedName>
    <definedName name="_Ref40262646" localSheetId="1">'Palubné jednotky'!#REF!</definedName>
    <definedName name="_Ref40262709" localSheetId="1">'Palubné jednotky'!#REF!</definedName>
    <definedName name="_Ref40339433" localSheetId="2">'Agenda SVM'!#REF!</definedName>
    <definedName name="_Ref40339440" localSheetId="2">'Agenda SVM'!#REF!</definedName>
    <definedName name="_Ref40339465" localSheetId="2">'Agenda SVM'!#REF!</definedName>
    <definedName name="_Ref40339477" localSheetId="2">'Agenda SVM'!#REF!</definedName>
    <definedName name="_Ref40339486" localSheetId="2">'Agenda SVM'!#REF!</definedName>
    <definedName name="_Ref40339500" localSheetId="2">'Agenda SVM'!#REF!</definedName>
    <definedName name="_Ref40339540" localSheetId="2">'Agenda SVM'!#REF!</definedName>
    <definedName name="_Ref40339547" localSheetId="2">'Agenda SVM'!#REF!</definedName>
    <definedName name="_Ref40339553" localSheetId="2">'Agenda SVM'!#REF!</definedName>
    <definedName name="_Ref40339561" localSheetId="2">'Agenda SVM'!#REF!</definedName>
    <definedName name="_Ref40339571" localSheetId="2">'Agenda SVM'!#REF!</definedName>
    <definedName name="_Ref40339584" localSheetId="2">'Agenda SVM'!#REF!</definedName>
    <definedName name="_Ref40341706" localSheetId="2">'Agenda SVM'!#REF!</definedName>
    <definedName name="_Ref40341715" localSheetId="2">'Agenda SVM'!#REF!</definedName>
    <definedName name="_Ref40341721" localSheetId="2">'Agenda SVM'!#REF!</definedName>
    <definedName name="_Ref40341727" localSheetId="2">'Agenda SVM'!#REF!</definedName>
    <definedName name="_Ref40341746" localSheetId="2">'Agenda SVM'!#REF!</definedName>
    <definedName name="_Ref40341786" localSheetId="2">'Agenda SVM'!#REF!</definedName>
    <definedName name="_Ref40341792" localSheetId="2">'Agenda SVM'!#REF!</definedName>
    <definedName name="_Ref40341797" localSheetId="2">'Agenda SVM'!#REF!</definedName>
    <definedName name="_Ref40341808" localSheetId="2">'Agenda SVM'!#REF!</definedName>
    <definedName name="_Ref40341815" localSheetId="2">'Agenda SVM'!#REF!</definedName>
    <definedName name="_Ref40341828" localSheetId="2">'Agenda SVM'!#REF!</definedName>
    <definedName name="_Ref40341861" localSheetId="2">'Agenda SVM'!#REF!</definedName>
    <definedName name="_Ref40341867" localSheetId="2">'Agenda SVM'!#REF!</definedName>
    <definedName name="_Ref40341878" localSheetId="2">'Agenda SVM'!#REF!</definedName>
    <definedName name="_Ref40341884" localSheetId="2">'Agenda SVM'!#REF!</definedName>
    <definedName name="_Ref40341890" localSheetId="2">'Agenda SVM'!#REF!</definedName>
    <definedName name="_Ref40341920" localSheetId="2">'Agenda SVM'!#REF!</definedName>
    <definedName name="_Ref40341928" localSheetId="2">'Agenda SVM'!#REF!</definedName>
    <definedName name="_Ref40341933" localSheetId="2">'Agenda SVM'!#REF!</definedName>
    <definedName name="_Ref40341949" localSheetId="2">'Agenda SVM'!#REF!</definedName>
    <definedName name="_Ref40341956" localSheetId="2">'Agenda SVM'!#REF!</definedName>
    <definedName name="_Ref40689175" localSheetId="2">'Agenda SVM'!#REF!</definedName>
    <definedName name="_Ref40689203" localSheetId="2">'Agenda SVM'!#REF!</definedName>
    <definedName name="_Ref40689257" localSheetId="2">'Agenda SVM'!#REF!</definedName>
    <definedName name="_Ref40689312" localSheetId="2">'Agenda SVM'!#REF!</definedName>
    <definedName name="_Ref40689399" localSheetId="2">'Agenda SVM'!#REF!</definedName>
    <definedName name="_Ref40689453" localSheetId="2">'Agenda SVM'!#REF!</definedName>
    <definedName name="_Ref40689481" localSheetId="2">'Agenda SVM'!#REF!</definedName>
    <definedName name="_Ref40689705" localSheetId="2">'Agenda SVM'!#REF!</definedName>
    <definedName name="_Ref40872893" localSheetId="3">Vyhodnotenie!$D$9</definedName>
    <definedName name="_Toc40772948" localSheetId="3">Vyhodnotenie!$D$89</definedName>
    <definedName name="_Toc41042909" localSheetId="0">'Zákaznícke služby'!$B$27</definedName>
    <definedName name="_Toc41042910" localSheetId="0">'Zákaznícke služby'!$H$27</definedName>
    <definedName name="_Toc41042917" localSheetId="0">'Zákaznícke služby'!$B$79</definedName>
    <definedName name="_Toc41042918" localSheetId="0">'Zákaznícke služby'!$H$79</definedName>
    <definedName name="_Toc41042924" localSheetId="0">'Zákaznícke služby'!$B$140</definedName>
    <definedName name="_Toc41042925" localSheetId="0">'Zákaznícke služby'!$H$140</definedName>
    <definedName name="_Toc41042932" localSheetId="1">'Palubné jednotky'!$B$17</definedName>
    <definedName name="_Toc41042933" localSheetId="1">'Palubné jednotky'!$H$17</definedName>
    <definedName name="_Toc41042939" localSheetId="1">'Palubné jednotky'!$B$45</definedName>
    <definedName name="_Toc41042940" localSheetId="1">'Palubné jednotky'!$H$45</definedName>
    <definedName name="_Toc41042946" localSheetId="1">'Palubné jednotky'!$B$78</definedName>
    <definedName name="_Toc41042947" localSheetId="1">'Palubné jednotky'!$H$78</definedName>
    <definedName name="_Toc41042949" localSheetId="1">'Palubné jednotky'!$B$92</definedName>
    <definedName name="_Toc41042954" localSheetId="2">'Agenda SVM'!$B$14</definedName>
    <definedName name="_Toc41042955" localSheetId="2">'Agenda SVM'!$H$14</definedName>
    <definedName name="_Toc41042961" localSheetId="2">'Agenda SVM'!$B$46</definedName>
    <definedName name="_Toc41042962" localSheetId="2">'Agenda SVM'!$H$46</definedName>
    <definedName name="_Toc41042964" localSheetId="2">'Agenda SVM'!$B$79</definedName>
    <definedName name="_Toc43481343" localSheetId="3">Vyhodnotenie!$D$89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1" l="1"/>
  <c r="H81" i="1" s="1"/>
  <c r="F82" i="1" l="1"/>
  <c r="P82" i="1" s="1"/>
  <c r="F50" i="3"/>
  <c r="Q82" i="1" l="1"/>
  <c r="K82" i="1"/>
  <c r="R82" i="1"/>
  <c r="J82" i="1"/>
  <c r="O82" i="1"/>
  <c r="I82" i="1"/>
  <c r="N82" i="1"/>
  <c r="M82" i="1"/>
  <c r="L82" i="1"/>
  <c r="I41" i="3"/>
  <c r="J41" i="3"/>
  <c r="K41" i="3"/>
  <c r="L41" i="3"/>
  <c r="M41" i="3"/>
  <c r="N41" i="3"/>
  <c r="O41" i="3"/>
  <c r="P41" i="3"/>
  <c r="Q41" i="3"/>
  <c r="R41" i="3"/>
  <c r="H41" i="3"/>
  <c r="S59" i="3"/>
  <c r="F59" i="3"/>
  <c r="O59" i="3" l="1"/>
  <c r="N59" i="3"/>
  <c r="Q59" i="3"/>
  <c r="R59" i="3"/>
  <c r="K59" i="3"/>
  <c r="M59" i="3"/>
  <c r="J59" i="3"/>
  <c r="I59" i="3"/>
  <c r="P59" i="3"/>
  <c r="L59" i="3"/>
  <c r="H59" i="3"/>
  <c r="R134" i="1" l="1"/>
  <c r="Q134" i="1"/>
  <c r="P134" i="1"/>
  <c r="O134" i="1"/>
  <c r="N134" i="1"/>
  <c r="M134" i="1"/>
  <c r="L134" i="1"/>
  <c r="K134" i="1"/>
  <c r="J134" i="1"/>
  <c r="I134" i="1"/>
  <c r="R61" i="1"/>
  <c r="Q61" i="1"/>
  <c r="P61" i="1"/>
  <c r="O61" i="1"/>
  <c r="N61" i="1"/>
  <c r="M61" i="1"/>
  <c r="L61" i="1"/>
  <c r="K61" i="1"/>
  <c r="J61" i="1"/>
  <c r="I61" i="1"/>
  <c r="R60" i="1"/>
  <c r="Q60" i="1"/>
  <c r="P60" i="1"/>
  <c r="O60" i="1"/>
  <c r="N60" i="1"/>
  <c r="M60" i="1"/>
  <c r="L60" i="1"/>
  <c r="K60" i="1"/>
  <c r="J60" i="1"/>
  <c r="I60" i="1"/>
  <c r="R59" i="1"/>
  <c r="Q59" i="1"/>
  <c r="P59" i="1"/>
  <c r="O59" i="1"/>
  <c r="N59" i="1"/>
  <c r="M59" i="1"/>
  <c r="L59" i="1"/>
  <c r="K59" i="1"/>
  <c r="J59" i="1"/>
  <c r="I59" i="1"/>
  <c r="J9" i="1"/>
  <c r="K9" i="1"/>
  <c r="L9" i="1"/>
  <c r="M9" i="1"/>
  <c r="N9" i="1"/>
  <c r="O9" i="1"/>
  <c r="P9" i="1"/>
  <c r="Q9" i="1"/>
  <c r="R9" i="1"/>
  <c r="I9" i="1"/>
  <c r="J8" i="1"/>
  <c r="K8" i="1"/>
  <c r="L8" i="1"/>
  <c r="M8" i="1"/>
  <c r="N8" i="1"/>
  <c r="O8" i="1"/>
  <c r="P8" i="1"/>
  <c r="Q8" i="1"/>
  <c r="R8" i="1"/>
  <c r="I8" i="1"/>
  <c r="J10" i="1"/>
  <c r="K10" i="1"/>
  <c r="L10" i="1"/>
  <c r="M10" i="1"/>
  <c r="N10" i="1"/>
  <c r="O10" i="1"/>
  <c r="P10" i="1"/>
  <c r="Q10" i="1"/>
  <c r="R10" i="1"/>
  <c r="I10" i="1"/>
  <c r="H16" i="4" l="1"/>
  <c r="E16" i="4"/>
  <c r="G16" i="4"/>
  <c r="F16" i="4"/>
  <c r="F105" i="1"/>
  <c r="F111" i="1" l="1"/>
  <c r="F89" i="1" l="1"/>
  <c r="F20" i="2" l="1"/>
  <c r="S14" i="2"/>
  <c r="R14" i="2"/>
  <c r="Q14" i="2"/>
  <c r="P14" i="2"/>
  <c r="O14" i="2"/>
  <c r="N14" i="2"/>
  <c r="M14" i="2"/>
  <c r="L14" i="2"/>
  <c r="K14" i="2"/>
  <c r="J14" i="2"/>
  <c r="I14" i="2"/>
  <c r="H14" i="2"/>
  <c r="S75" i="2"/>
  <c r="R75" i="2"/>
  <c r="Q75" i="2"/>
  <c r="P75" i="2"/>
  <c r="O75" i="2"/>
  <c r="N75" i="2"/>
  <c r="M75" i="2"/>
  <c r="L75" i="2"/>
  <c r="K75" i="2"/>
  <c r="J75" i="2"/>
  <c r="I75" i="2"/>
  <c r="H75" i="2"/>
  <c r="F80" i="2"/>
  <c r="F55" i="2"/>
  <c r="F61" i="2"/>
  <c r="I37" i="2"/>
  <c r="J37" i="2"/>
  <c r="K37" i="2"/>
  <c r="L37" i="2"/>
  <c r="M37" i="2"/>
  <c r="N37" i="2"/>
  <c r="O37" i="2"/>
  <c r="P37" i="2"/>
  <c r="Q37" i="2"/>
  <c r="R37" i="2"/>
  <c r="S37" i="2"/>
  <c r="H37" i="2"/>
  <c r="F51" i="2"/>
  <c r="F48" i="3"/>
  <c r="F58" i="3" s="1"/>
  <c r="I42" i="3"/>
  <c r="J42" i="3"/>
  <c r="K42" i="3"/>
  <c r="L42" i="3"/>
  <c r="M42" i="3"/>
  <c r="N42" i="3"/>
  <c r="O42" i="3"/>
  <c r="P42" i="3"/>
  <c r="Q42" i="3"/>
  <c r="R42" i="3"/>
  <c r="S42" i="3"/>
  <c r="H42" i="3"/>
  <c r="F51" i="3"/>
  <c r="I12" i="3"/>
  <c r="J12" i="3"/>
  <c r="K12" i="3"/>
  <c r="L12" i="3"/>
  <c r="M12" i="3"/>
  <c r="N12" i="3"/>
  <c r="O12" i="3"/>
  <c r="P12" i="3"/>
  <c r="Q12" i="3"/>
  <c r="R12" i="3"/>
  <c r="S12" i="3"/>
  <c r="H12" i="3"/>
  <c r="F23" i="3"/>
  <c r="F16" i="3"/>
  <c r="H55" i="2" l="1"/>
  <c r="F56" i="2"/>
  <c r="R58" i="3"/>
  <c r="Q58" i="3"/>
  <c r="I58" i="3"/>
  <c r="N58" i="3"/>
  <c r="J58" i="3"/>
  <c r="K58" i="3"/>
  <c r="O58" i="3"/>
  <c r="P58" i="3"/>
  <c r="M58" i="3"/>
  <c r="L58" i="3"/>
  <c r="Q51" i="3"/>
  <c r="I23" i="3"/>
  <c r="H80" i="2"/>
  <c r="P23" i="3"/>
  <c r="O23" i="3"/>
  <c r="M23" i="3"/>
  <c r="N23" i="3"/>
  <c r="H51" i="3"/>
  <c r="S61" i="2"/>
  <c r="H23" i="3"/>
  <c r="L23" i="3"/>
  <c r="H51" i="2"/>
  <c r="S23" i="3"/>
  <c r="K23" i="3"/>
  <c r="H61" i="2"/>
  <c r="R23" i="3"/>
  <c r="J23" i="3"/>
  <c r="S51" i="2"/>
  <c r="Q23" i="3"/>
  <c r="J51" i="3"/>
  <c r="R51" i="3"/>
  <c r="K51" i="3"/>
  <c r="S51" i="3"/>
  <c r="L51" i="3"/>
  <c r="M51" i="3"/>
  <c r="N51" i="3"/>
  <c r="O51" i="3"/>
  <c r="P51" i="3"/>
  <c r="I51" i="3"/>
  <c r="Q56" i="2" l="1"/>
  <c r="O56" i="2"/>
  <c r="P56" i="2"/>
  <c r="I56" i="2"/>
  <c r="J56" i="2"/>
  <c r="L56" i="2"/>
  <c r="N56" i="2"/>
  <c r="M56" i="2"/>
  <c r="R56" i="2"/>
  <c r="K56" i="2"/>
  <c r="S138" i="1"/>
  <c r="R138" i="1"/>
  <c r="Q138" i="1"/>
  <c r="P138" i="1"/>
  <c r="O138" i="1"/>
  <c r="N138" i="1"/>
  <c r="M138" i="1"/>
  <c r="L138" i="1"/>
  <c r="K138" i="1"/>
  <c r="J138" i="1"/>
  <c r="I138" i="1"/>
  <c r="H138" i="1"/>
  <c r="F145" i="1"/>
  <c r="J145" i="1" s="1"/>
  <c r="I71" i="1"/>
  <c r="J71" i="1"/>
  <c r="K71" i="1"/>
  <c r="L71" i="1"/>
  <c r="M71" i="1"/>
  <c r="N71" i="1"/>
  <c r="O71" i="1"/>
  <c r="P71" i="1"/>
  <c r="Q71" i="1"/>
  <c r="R71" i="1"/>
  <c r="S71" i="1"/>
  <c r="H71" i="1"/>
  <c r="F41" i="1"/>
  <c r="L20" i="1"/>
  <c r="M20" i="1"/>
  <c r="N20" i="1"/>
  <c r="O20" i="1"/>
  <c r="P20" i="1"/>
  <c r="Q20" i="1"/>
  <c r="R20" i="1"/>
  <c r="S20" i="1"/>
  <c r="I20" i="1"/>
  <c r="J20" i="1"/>
  <c r="K20" i="1"/>
  <c r="H20" i="1"/>
  <c r="L41" i="1" l="1"/>
  <c r="S105" i="1"/>
  <c r="S111" i="1"/>
  <c r="S89" i="1"/>
  <c r="R105" i="1"/>
  <c r="R111" i="1"/>
  <c r="R89" i="1"/>
  <c r="P105" i="1"/>
  <c r="P111" i="1"/>
  <c r="P89" i="1"/>
  <c r="S41" i="1"/>
  <c r="O105" i="1"/>
  <c r="O111" i="1"/>
  <c r="O89" i="1"/>
  <c r="K105" i="1"/>
  <c r="K111" i="1"/>
  <c r="K89" i="1"/>
  <c r="I105" i="1"/>
  <c r="I111" i="1"/>
  <c r="I89" i="1"/>
  <c r="H41" i="1"/>
  <c r="N105" i="1"/>
  <c r="N111" i="1"/>
  <c r="N89" i="1"/>
  <c r="M41" i="1"/>
  <c r="K41" i="1"/>
  <c r="M105" i="1"/>
  <c r="M111" i="1"/>
  <c r="M89" i="1"/>
  <c r="J105" i="1"/>
  <c r="J111" i="1"/>
  <c r="J89" i="1"/>
  <c r="Q105" i="1"/>
  <c r="Q111" i="1"/>
  <c r="Q89" i="1"/>
  <c r="H105" i="1"/>
  <c r="H111" i="1"/>
  <c r="H89" i="1"/>
  <c r="L105" i="1"/>
  <c r="L111" i="1"/>
  <c r="L89" i="1"/>
  <c r="O145" i="1"/>
  <c r="P41" i="1"/>
  <c r="M145" i="1"/>
  <c r="P145" i="1"/>
  <c r="J41" i="1"/>
  <c r="Q41" i="1"/>
  <c r="N145" i="1"/>
  <c r="H145" i="1"/>
  <c r="L145" i="1"/>
  <c r="Q145" i="1"/>
  <c r="R41" i="1"/>
  <c r="I41" i="1"/>
  <c r="O41" i="1"/>
  <c r="N41" i="1"/>
  <c r="S145" i="1"/>
  <c r="K145" i="1"/>
  <c r="I145" i="1"/>
  <c r="R145" i="1"/>
  <c r="F50" i="2"/>
  <c r="S44" i="2"/>
  <c r="I44" i="2"/>
  <c r="J44" i="2"/>
  <c r="K44" i="2"/>
  <c r="L44" i="2"/>
  <c r="M44" i="2"/>
  <c r="N44" i="2"/>
  <c r="O44" i="2"/>
  <c r="P44" i="2"/>
  <c r="Q44" i="2"/>
  <c r="R44" i="2"/>
  <c r="H44" i="2"/>
  <c r="F66" i="3" l="1"/>
  <c r="H67" i="3" l="1"/>
  <c r="H36" i="1" l="1"/>
  <c r="H37" i="1"/>
  <c r="I35" i="1"/>
  <c r="J35" i="1"/>
  <c r="K35" i="1"/>
  <c r="L35" i="1"/>
  <c r="M35" i="1"/>
  <c r="N35" i="1"/>
  <c r="O35" i="1"/>
  <c r="P35" i="1"/>
  <c r="Q35" i="1"/>
  <c r="R35" i="1"/>
  <c r="S35" i="1"/>
  <c r="I36" i="1"/>
  <c r="J36" i="1"/>
  <c r="K36" i="1"/>
  <c r="L36" i="1"/>
  <c r="M36" i="1"/>
  <c r="N36" i="1"/>
  <c r="O36" i="1"/>
  <c r="P36" i="1"/>
  <c r="Q36" i="1"/>
  <c r="R36" i="1"/>
  <c r="S36" i="1"/>
  <c r="H34" i="1"/>
  <c r="H35" i="1"/>
  <c r="S32" i="1"/>
  <c r="H31" i="1"/>
  <c r="H32" i="1"/>
  <c r="J31" i="1"/>
  <c r="R31" i="1"/>
  <c r="J32" i="1"/>
  <c r="K32" i="1"/>
  <c r="L32" i="1"/>
  <c r="M32" i="1"/>
  <c r="N32" i="1"/>
  <c r="O32" i="1"/>
  <c r="P32" i="1"/>
  <c r="Q32" i="1"/>
  <c r="R32" i="1"/>
  <c r="I32" i="1"/>
  <c r="I14" i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S34" i="1" s="1"/>
  <c r="R12" i="1"/>
  <c r="S12" i="1" s="1"/>
  <c r="Q12" i="1"/>
  <c r="P12" i="1"/>
  <c r="O12" i="1"/>
  <c r="N12" i="1"/>
  <c r="M12" i="1"/>
  <c r="L12" i="1"/>
  <c r="K12" i="1"/>
  <c r="J12" i="1"/>
  <c r="I12" i="1"/>
  <c r="H12" i="1" s="1"/>
  <c r="R11" i="1"/>
  <c r="Q11" i="1"/>
  <c r="P11" i="1"/>
  <c r="O11" i="1"/>
  <c r="N11" i="1"/>
  <c r="M11" i="1"/>
  <c r="L11" i="1"/>
  <c r="K11" i="1"/>
  <c r="J11" i="1"/>
  <c r="I11" i="1"/>
  <c r="K34" i="1" l="1"/>
  <c r="I34" i="1"/>
  <c r="Q31" i="1"/>
  <c r="S31" i="1"/>
  <c r="N34" i="1"/>
  <c r="P31" i="1"/>
  <c r="N31" i="1"/>
  <c r="Q34" i="1"/>
  <c r="L31" i="1"/>
  <c r="O34" i="1"/>
  <c r="I31" i="1"/>
  <c r="M34" i="1"/>
  <c r="O31" i="1"/>
  <c r="L34" i="1"/>
  <c r="M31" i="1"/>
  <c r="R34" i="1"/>
  <c r="J34" i="1"/>
  <c r="I13" i="1"/>
  <c r="K31" i="1"/>
  <c r="P34" i="1"/>
  <c r="M13" i="1"/>
  <c r="N13" i="1"/>
  <c r="J13" i="1"/>
  <c r="L13" i="1"/>
  <c r="Q13" i="1"/>
  <c r="K13" i="1"/>
  <c r="S11" i="1"/>
  <c r="S13" i="1" s="1"/>
  <c r="R13" i="1"/>
  <c r="O13" i="1"/>
  <c r="P13" i="1"/>
  <c r="H11" i="1"/>
  <c r="H13" i="1" s="1"/>
  <c r="M30" i="1" l="1"/>
  <c r="M33" i="1"/>
  <c r="R33" i="1"/>
  <c r="R30" i="1"/>
  <c r="S33" i="1"/>
  <c r="S30" i="1"/>
  <c r="I33" i="1"/>
  <c r="I30" i="1"/>
  <c r="P30" i="1"/>
  <c r="P33" i="1"/>
  <c r="N30" i="1"/>
  <c r="N33" i="1"/>
  <c r="O30" i="1"/>
  <c r="O33" i="1"/>
  <c r="K30" i="1"/>
  <c r="K33" i="1"/>
  <c r="Q30" i="1"/>
  <c r="Q33" i="1"/>
  <c r="L30" i="1"/>
  <c r="L33" i="1"/>
  <c r="H30" i="1"/>
  <c r="H33" i="1"/>
  <c r="J33" i="1"/>
  <c r="J30" i="1"/>
  <c r="F19" i="2" l="1"/>
  <c r="R92" i="4" l="1"/>
  <c r="F17" i="3" l="1"/>
  <c r="S17" i="3"/>
  <c r="I19" i="3"/>
  <c r="J19" i="3"/>
  <c r="K19" i="3"/>
  <c r="L19" i="3"/>
  <c r="M19" i="3"/>
  <c r="N19" i="3"/>
  <c r="O19" i="3"/>
  <c r="P19" i="3"/>
  <c r="Q19" i="3"/>
  <c r="R19" i="3"/>
  <c r="S19" i="3"/>
  <c r="H19" i="3"/>
  <c r="S11" i="3"/>
  <c r="F18" i="3"/>
  <c r="N18" i="3" s="1"/>
  <c r="H20" i="3"/>
  <c r="F71" i="3"/>
  <c r="S71" i="3" s="1"/>
  <c r="F70" i="3"/>
  <c r="M70" i="3" s="1"/>
  <c r="F68" i="3"/>
  <c r="N68" i="3" s="1"/>
  <c r="N66" i="3"/>
  <c r="F65" i="3"/>
  <c r="S65" i="3" s="1"/>
  <c r="F64" i="3"/>
  <c r="M64" i="3" s="1"/>
  <c r="F62" i="3"/>
  <c r="N62" i="3" s="1"/>
  <c r="F57" i="3"/>
  <c r="S57" i="3" s="1"/>
  <c r="F56" i="3"/>
  <c r="R56" i="3" s="1"/>
  <c r="F54" i="3"/>
  <c r="P54" i="3" s="1"/>
  <c r="H48" i="3"/>
  <c r="H53" i="3"/>
  <c r="I50" i="3"/>
  <c r="S69" i="3"/>
  <c r="R69" i="3"/>
  <c r="Q69" i="3"/>
  <c r="P69" i="3"/>
  <c r="O69" i="3"/>
  <c r="N69" i="3"/>
  <c r="M69" i="3"/>
  <c r="L69" i="3"/>
  <c r="K69" i="3"/>
  <c r="J69" i="3"/>
  <c r="I69" i="3"/>
  <c r="H69" i="3"/>
  <c r="S63" i="3"/>
  <c r="R63" i="3"/>
  <c r="Q63" i="3"/>
  <c r="P63" i="3"/>
  <c r="O63" i="3"/>
  <c r="N63" i="3"/>
  <c r="M63" i="3"/>
  <c r="L63" i="3"/>
  <c r="K63" i="3"/>
  <c r="J63" i="3"/>
  <c r="I63" i="3"/>
  <c r="H63" i="3"/>
  <c r="S60" i="3"/>
  <c r="R60" i="3"/>
  <c r="Q60" i="3"/>
  <c r="P60" i="3"/>
  <c r="O60" i="3"/>
  <c r="N60" i="3"/>
  <c r="M60" i="3"/>
  <c r="L60" i="3"/>
  <c r="K60" i="3"/>
  <c r="J60" i="3"/>
  <c r="I60" i="3"/>
  <c r="H60" i="3"/>
  <c r="S55" i="3"/>
  <c r="R55" i="3"/>
  <c r="Q55" i="3"/>
  <c r="P55" i="3"/>
  <c r="O55" i="3"/>
  <c r="N55" i="3"/>
  <c r="M55" i="3"/>
  <c r="L55" i="3"/>
  <c r="K55" i="3"/>
  <c r="J55" i="3"/>
  <c r="I55" i="3"/>
  <c r="H55" i="3"/>
  <c r="S52" i="3"/>
  <c r="R52" i="3"/>
  <c r="Q52" i="3"/>
  <c r="P52" i="3"/>
  <c r="O52" i="3"/>
  <c r="N52" i="3"/>
  <c r="M52" i="3"/>
  <c r="L52" i="3"/>
  <c r="K52" i="3"/>
  <c r="J52" i="3"/>
  <c r="I52" i="3"/>
  <c r="H52" i="3"/>
  <c r="J49" i="3"/>
  <c r="K49" i="3"/>
  <c r="L49" i="3"/>
  <c r="M49" i="3"/>
  <c r="N49" i="3"/>
  <c r="O49" i="3"/>
  <c r="P49" i="3"/>
  <c r="Q49" i="3"/>
  <c r="R49" i="3"/>
  <c r="S49" i="3"/>
  <c r="I49" i="3"/>
  <c r="H49" i="3"/>
  <c r="H61" i="3"/>
  <c r="I18" i="3" l="1"/>
  <c r="P18" i="3"/>
  <c r="O18" i="3"/>
  <c r="L18" i="3"/>
  <c r="P56" i="3"/>
  <c r="R70" i="3"/>
  <c r="H18" i="3"/>
  <c r="M18" i="3"/>
  <c r="S18" i="3"/>
  <c r="K18" i="3"/>
  <c r="R18" i="3"/>
  <c r="J18" i="3"/>
  <c r="Q18" i="3"/>
  <c r="O70" i="3"/>
  <c r="H16" i="3"/>
  <c r="O66" i="3"/>
  <c r="F21" i="3"/>
  <c r="H54" i="3"/>
  <c r="F22" i="3"/>
  <c r="S22" i="3" s="1"/>
  <c r="I70" i="3"/>
  <c r="O54" i="3"/>
  <c r="M54" i="3"/>
  <c r="P70" i="3"/>
  <c r="H70" i="3"/>
  <c r="Q70" i="3"/>
  <c r="L70" i="3"/>
  <c r="J70" i="3"/>
  <c r="K70" i="3"/>
  <c r="N70" i="3"/>
  <c r="S56" i="3"/>
  <c r="H68" i="3"/>
  <c r="H56" i="3"/>
  <c r="P68" i="3"/>
  <c r="J56" i="3"/>
  <c r="K56" i="3"/>
  <c r="O56" i="3"/>
  <c r="I56" i="3"/>
  <c r="L66" i="3"/>
  <c r="S68" i="3"/>
  <c r="J68" i="3"/>
  <c r="Q56" i="3"/>
  <c r="K68" i="3"/>
  <c r="O68" i="3"/>
  <c r="R68" i="3"/>
  <c r="S70" i="3"/>
  <c r="I68" i="3"/>
  <c r="Q68" i="3"/>
  <c r="L68" i="3"/>
  <c r="M68" i="3"/>
  <c r="H66" i="3"/>
  <c r="P66" i="3"/>
  <c r="Q66" i="3"/>
  <c r="J66" i="3"/>
  <c r="R66" i="3"/>
  <c r="I66" i="3"/>
  <c r="K66" i="3"/>
  <c r="S66" i="3"/>
  <c r="M66" i="3"/>
  <c r="P64" i="3"/>
  <c r="I64" i="3"/>
  <c r="Q64" i="3"/>
  <c r="N64" i="3"/>
  <c r="O64" i="3"/>
  <c r="H64" i="3"/>
  <c r="J64" i="3"/>
  <c r="R64" i="3"/>
  <c r="K64" i="3"/>
  <c r="S64" i="3"/>
  <c r="L64" i="3"/>
  <c r="O62" i="3"/>
  <c r="P62" i="3"/>
  <c r="I62" i="3"/>
  <c r="Q62" i="3"/>
  <c r="H62" i="3"/>
  <c r="J62" i="3"/>
  <c r="R62" i="3"/>
  <c r="L62" i="3"/>
  <c r="K62" i="3"/>
  <c r="M62" i="3"/>
  <c r="S62" i="3"/>
  <c r="L56" i="3"/>
  <c r="M56" i="3"/>
  <c r="N56" i="3"/>
  <c r="R54" i="3"/>
  <c r="K54" i="3"/>
  <c r="S54" i="3"/>
  <c r="I54" i="3"/>
  <c r="Q54" i="3"/>
  <c r="J54" i="3"/>
  <c r="L54" i="3"/>
  <c r="N54" i="3"/>
  <c r="L50" i="3"/>
  <c r="M50" i="3"/>
  <c r="S50" i="3"/>
  <c r="K50" i="3"/>
  <c r="O50" i="3"/>
  <c r="H50" i="3"/>
  <c r="R50" i="3"/>
  <c r="J50" i="3"/>
  <c r="P50" i="3"/>
  <c r="N50" i="3"/>
  <c r="Q50" i="3"/>
  <c r="H77" i="3" l="1"/>
  <c r="I21" i="3"/>
  <c r="Q21" i="3"/>
  <c r="J21" i="3"/>
  <c r="R21" i="3"/>
  <c r="K21" i="3"/>
  <c r="S21" i="3"/>
  <c r="S25" i="3" s="1"/>
  <c r="S26" i="3" s="1"/>
  <c r="L21" i="3"/>
  <c r="H21" i="3"/>
  <c r="O21" i="3"/>
  <c r="M21" i="3"/>
  <c r="N21" i="3"/>
  <c r="P21" i="3"/>
  <c r="S72" i="3" l="1"/>
  <c r="S79" i="3" s="1"/>
  <c r="S73" i="3" l="1"/>
  <c r="R95" i="4"/>
  <c r="I74" i="2"/>
  <c r="I80" i="2" s="1"/>
  <c r="J74" i="2"/>
  <c r="J80" i="2" s="1"/>
  <c r="K74" i="2"/>
  <c r="K80" i="2" s="1"/>
  <c r="L74" i="2"/>
  <c r="L80" i="2" s="1"/>
  <c r="M74" i="2"/>
  <c r="M80" i="2" s="1"/>
  <c r="N74" i="2"/>
  <c r="N80" i="2" s="1"/>
  <c r="O74" i="2"/>
  <c r="O80" i="2" s="1"/>
  <c r="P74" i="2"/>
  <c r="P80" i="2" s="1"/>
  <c r="Q74" i="2"/>
  <c r="Q80" i="2" s="1"/>
  <c r="R74" i="2"/>
  <c r="R80" i="2" s="1"/>
  <c r="S74" i="2"/>
  <c r="S80" i="2" s="1"/>
  <c r="H8" i="2"/>
  <c r="H20" i="2" s="1"/>
  <c r="F63" i="2"/>
  <c r="S63" i="2" s="1"/>
  <c r="H59" i="2"/>
  <c r="F58" i="2"/>
  <c r="S58" i="2" s="1"/>
  <c r="F54" i="2"/>
  <c r="F53" i="2"/>
  <c r="F48" i="2"/>
  <c r="I38" i="2"/>
  <c r="J38" i="2"/>
  <c r="K38" i="2"/>
  <c r="L38" i="2"/>
  <c r="M38" i="2"/>
  <c r="N38" i="2"/>
  <c r="O38" i="2"/>
  <c r="P38" i="2"/>
  <c r="Q38" i="2"/>
  <c r="R38" i="2"/>
  <c r="I39" i="2"/>
  <c r="J39" i="2"/>
  <c r="K39" i="2"/>
  <c r="L39" i="2"/>
  <c r="M39" i="2"/>
  <c r="N39" i="2"/>
  <c r="O39" i="2"/>
  <c r="P39" i="2"/>
  <c r="Q39" i="2"/>
  <c r="R39" i="2"/>
  <c r="S39" i="2"/>
  <c r="R49" i="2"/>
  <c r="S49" i="2"/>
  <c r="I41" i="2"/>
  <c r="I43" i="2" s="1"/>
  <c r="I40" i="2" s="1"/>
  <c r="I49" i="2" s="1"/>
  <c r="J41" i="2"/>
  <c r="J43" i="2" s="1"/>
  <c r="J40" i="2" s="1"/>
  <c r="J49" i="2" s="1"/>
  <c r="K41" i="2"/>
  <c r="K43" i="2" s="1"/>
  <c r="K40" i="2" s="1"/>
  <c r="K49" i="2" s="1"/>
  <c r="L41" i="2"/>
  <c r="L43" i="2" s="1"/>
  <c r="L40" i="2" s="1"/>
  <c r="L49" i="2" s="1"/>
  <c r="M41" i="2"/>
  <c r="M43" i="2" s="1"/>
  <c r="M40" i="2" s="1"/>
  <c r="M49" i="2" s="1"/>
  <c r="N41" i="2"/>
  <c r="N43" i="2" s="1"/>
  <c r="N40" i="2" s="1"/>
  <c r="N49" i="2" s="1"/>
  <c r="O41" i="2"/>
  <c r="O43" i="2" s="1"/>
  <c r="O40" i="2" s="1"/>
  <c r="O49" i="2" s="1"/>
  <c r="P41" i="2"/>
  <c r="P43" i="2" s="1"/>
  <c r="P40" i="2" s="1"/>
  <c r="P49" i="2" s="1"/>
  <c r="Q41" i="2"/>
  <c r="Q43" i="2" s="1"/>
  <c r="Q40" i="2" s="1"/>
  <c r="Q49" i="2" s="1"/>
  <c r="R41" i="2"/>
  <c r="R43" i="2" s="1"/>
  <c r="S41" i="2"/>
  <c r="S43" i="2" s="1"/>
  <c r="H39" i="2"/>
  <c r="H49" i="2"/>
  <c r="H41" i="2"/>
  <c r="H43" i="2" s="1"/>
  <c r="H47" i="2"/>
  <c r="K61" i="2" l="1"/>
  <c r="K51" i="2"/>
  <c r="J61" i="2"/>
  <c r="J51" i="2"/>
  <c r="Q51" i="2"/>
  <c r="Q61" i="2"/>
  <c r="L61" i="2"/>
  <c r="L51" i="2"/>
  <c r="I61" i="2"/>
  <c r="I51" i="2"/>
  <c r="P51" i="2"/>
  <c r="P61" i="2"/>
  <c r="R51" i="2"/>
  <c r="R61" i="2"/>
  <c r="O51" i="2"/>
  <c r="O61" i="2"/>
  <c r="N51" i="2"/>
  <c r="N61" i="2"/>
  <c r="M51" i="2"/>
  <c r="M61" i="2"/>
  <c r="P62" i="2"/>
  <c r="P50" i="2"/>
  <c r="S62" i="2"/>
  <c r="S50" i="2"/>
  <c r="O50" i="2"/>
  <c r="N50" i="2"/>
  <c r="K62" i="2"/>
  <c r="K50" i="2"/>
  <c r="H62" i="2"/>
  <c r="H50" i="2"/>
  <c r="M62" i="2"/>
  <c r="M50" i="2"/>
  <c r="L52" i="2"/>
  <c r="L50" i="2"/>
  <c r="R50" i="2"/>
  <c r="J50" i="2"/>
  <c r="Q62" i="2"/>
  <c r="Q50" i="2"/>
  <c r="I50" i="2"/>
  <c r="I52" i="2"/>
  <c r="R62" i="2"/>
  <c r="L54" i="2"/>
  <c r="R53" i="2"/>
  <c r="R54" i="2"/>
  <c r="J54" i="2"/>
  <c r="R52" i="2"/>
  <c r="S52" i="2"/>
  <c r="J52" i="2"/>
  <c r="I62" i="2"/>
  <c r="J48" i="2"/>
  <c r="Q53" i="2"/>
  <c r="N54" i="2"/>
  <c r="L48" i="2"/>
  <c r="O53" i="2"/>
  <c r="H48" i="2"/>
  <c r="Q52" i="2"/>
  <c r="P53" i="2"/>
  <c r="K54" i="2"/>
  <c r="S48" i="2"/>
  <c r="K48" i="2"/>
  <c r="N52" i="2"/>
  <c r="N53" i="2"/>
  <c r="M52" i="2"/>
  <c r="M53" i="2"/>
  <c r="Q48" i="2"/>
  <c r="I48" i="2"/>
  <c r="K52" i="2"/>
  <c r="I53" i="2"/>
  <c r="F57" i="2"/>
  <c r="Q57" i="2" s="1"/>
  <c r="P48" i="2"/>
  <c r="O48" i="2"/>
  <c r="S54" i="2"/>
  <c r="J62" i="2"/>
  <c r="N62" i="2"/>
  <c r="L53" i="2"/>
  <c r="I54" i="2"/>
  <c r="N48" i="2"/>
  <c r="P52" i="2"/>
  <c r="K53" i="2"/>
  <c r="P54" i="2"/>
  <c r="S53" i="2"/>
  <c r="L62" i="2"/>
  <c r="O62" i="2"/>
  <c r="Q54" i="2"/>
  <c r="M48" i="2"/>
  <c r="O52" i="2"/>
  <c r="H53" i="2"/>
  <c r="J53" i="2"/>
  <c r="O54" i="2"/>
  <c r="M54" i="2"/>
  <c r="R48" i="2"/>
  <c r="H52" i="2"/>
  <c r="H54" i="2"/>
  <c r="I8" i="2"/>
  <c r="I20" i="2" s="1"/>
  <c r="J8" i="2"/>
  <c r="J20" i="2" s="1"/>
  <c r="K8" i="2"/>
  <c r="K20" i="2" s="1"/>
  <c r="L8" i="2"/>
  <c r="L20" i="2" s="1"/>
  <c r="M8" i="2"/>
  <c r="M20" i="2" s="1"/>
  <c r="N8" i="2"/>
  <c r="N20" i="2" s="1"/>
  <c r="O8" i="2"/>
  <c r="P8" i="2"/>
  <c r="P20" i="2" s="1"/>
  <c r="Q8" i="2"/>
  <c r="Q20" i="2" s="1"/>
  <c r="R8" i="2"/>
  <c r="R20" i="2" s="1"/>
  <c r="S8" i="2"/>
  <c r="S20" i="2" s="1"/>
  <c r="I9" i="2"/>
  <c r="J9" i="2"/>
  <c r="K9" i="2"/>
  <c r="L9" i="2"/>
  <c r="M9" i="2"/>
  <c r="N9" i="2"/>
  <c r="O9" i="2"/>
  <c r="P9" i="2"/>
  <c r="Q9" i="2"/>
  <c r="R9" i="2"/>
  <c r="S9" i="2"/>
  <c r="S11" i="2"/>
  <c r="S13" i="2" s="1"/>
  <c r="H9" i="2"/>
  <c r="H11" i="2"/>
  <c r="H13" i="2" s="1"/>
  <c r="O81" i="2" l="1"/>
  <c r="O20" i="2"/>
  <c r="K21" i="2"/>
  <c r="K81" i="2"/>
  <c r="K82" i="2" s="1"/>
  <c r="K83" i="2" s="1"/>
  <c r="L21" i="2"/>
  <c r="L81" i="2"/>
  <c r="S21" i="2"/>
  <c r="S81" i="2"/>
  <c r="R21" i="2"/>
  <c r="R81" i="2"/>
  <c r="J21" i="2"/>
  <c r="J81" i="2"/>
  <c r="J82" i="2" s="1"/>
  <c r="J83" i="2" s="1"/>
  <c r="P21" i="2"/>
  <c r="P81" i="2"/>
  <c r="I21" i="2"/>
  <c r="I81" i="2"/>
  <c r="I82" i="2" s="1"/>
  <c r="I83" i="2" s="1"/>
  <c r="O82" i="2"/>
  <c r="O83" i="2" s="1"/>
  <c r="Q21" i="2"/>
  <c r="Q81" i="2"/>
  <c r="Q82" i="2" s="1"/>
  <c r="Q83" i="2" s="1"/>
  <c r="N21" i="2"/>
  <c r="N81" i="2"/>
  <c r="H21" i="2"/>
  <c r="H81" i="2"/>
  <c r="H82" i="2" s="1"/>
  <c r="H83" i="2" s="1"/>
  <c r="M21" i="2"/>
  <c r="M81" i="2"/>
  <c r="M82" i="2" s="1"/>
  <c r="M83" i="2" s="1"/>
  <c r="H19" i="2"/>
  <c r="H27" i="2" s="1"/>
  <c r="R57" i="2"/>
  <c r="S57" i="2"/>
  <c r="O57" i="2"/>
  <c r="P57" i="2"/>
  <c r="M57" i="2"/>
  <c r="J57" i="2"/>
  <c r="L57" i="2"/>
  <c r="K57" i="2"/>
  <c r="N57" i="2"/>
  <c r="S19" i="2"/>
  <c r="O21" i="2"/>
  <c r="H26" i="2"/>
  <c r="F96" i="2" l="1"/>
  <c r="H28" i="2"/>
  <c r="L82" i="2"/>
  <c r="L83" i="2" s="1"/>
  <c r="P82" i="2"/>
  <c r="P83" i="2" s="1"/>
  <c r="S82" i="2"/>
  <c r="S83" i="2" s="1"/>
  <c r="R82" i="2"/>
  <c r="R83" i="2" s="1"/>
  <c r="N82" i="2"/>
  <c r="N83" i="2" s="1"/>
  <c r="D96" i="2" l="1"/>
  <c r="I49" i="4"/>
  <c r="G96" i="2" l="1"/>
  <c r="J49" i="4" s="1"/>
  <c r="L49" i="4" s="1"/>
  <c r="G12" i="4"/>
  <c r="K49" i="4"/>
  <c r="I11" i="2"/>
  <c r="I13" i="2" s="1"/>
  <c r="J11" i="2"/>
  <c r="J13" i="2" s="1"/>
  <c r="J19" i="2" l="1"/>
  <c r="J10" i="2"/>
  <c r="I19" i="2"/>
  <c r="I10" i="2"/>
  <c r="K11" i="2"/>
  <c r="K13" i="2" s="1"/>
  <c r="L11" i="2"/>
  <c r="L13" i="2" s="1"/>
  <c r="L19" i="2" l="1"/>
  <c r="L10" i="2"/>
  <c r="K19" i="2"/>
  <c r="K10" i="2"/>
  <c r="M11" i="2"/>
  <c r="M13" i="2" s="1"/>
  <c r="N11" i="2"/>
  <c r="N13" i="2" s="1"/>
  <c r="N19" i="2" l="1"/>
  <c r="N10" i="2"/>
  <c r="M19" i="2"/>
  <c r="M10" i="2"/>
  <c r="O11" i="2"/>
  <c r="O13" i="2" s="1"/>
  <c r="O19" i="2" l="1"/>
  <c r="O10" i="2"/>
  <c r="P11" i="2"/>
  <c r="P13" i="2" s="1"/>
  <c r="P19" i="2" l="1"/>
  <c r="P10" i="2"/>
  <c r="Q11" i="2"/>
  <c r="Q13" i="2" s="1"/>
  <c r="Q19" i="2" l="1"/>
  <c r="Q10" i="2"/>
  <c r="R11" i="2"/>
  <c r="R13" i="2" s="1"/>
  <c r="R19" i="2" s="1"/>
  <c r="F60" i="2" l="1"/>
  <c r="I146" i="1"/>
  <c r="I144" i="1"/>
  <c r="J144" i="1"/>
  <c r="K144" i="1"/>
  <c r="L144" i="1"/>
  <c r="M144" i="1"/>
  <c r="N144" i="1"/>
  <c r="O144" i="1"/>
  <c r="P144" i="1"/>
  <c r="Q144" i="1"/>
  <c r="R144" i="1"/>
  <c r="S144" i="1"/>
  <c r="H144" i="1"/>
  <c r="F143" i="1"/>
  <c r="O143" i="1" s="1"/>
  <c r="S142" i="1"/>
  <c r="H142" i="1"/>
  <c r="S146" i="1"/>
  <c r="R146" i="1"/>
  <c r="Q146" i="1"/>
  <c r="P146" i="1"/>
  <c r="O146" i="1"/>
  <c r="N146" i="1"/>
  <c r="M146" i="1"/>
  <c r="L146" i="1"/>
  <c r="K146" i="1"/>
  <c r="J146" i="1"/>
  <c r="H146" i="1"/>
  <c r="Q142" i="1"/>
  <c r="P142" i="1"/>
  <c r="O142" i="1"/>
  <c r="N142" i="1"/>
  <c r="J142" i="1"/>
  <c r="I142" i="1"/>
  <c r="H43" i="1"/>
  <c r="H29" i="1"/>
  <c r="S23" i="1"/>
  <c r="S43" i="1" s="1"/>
  <c r="I42" i="1"/>
  <c r="J42" i="1"/>
  <c r="K42" i="1"/>
  <c r="L42" i="1"/>
  <c r="M42" i="1"/>
  <c r="N42" i="1"/>
  <c r="O42" i="1"/>
  <c r="P42" i="1"/>
  <c r="Q42" i="1"/>
  <c r="R42" i="1"/>
  <c r="S42" i="1"/>
  <c r="H42" i="1"/>
  <c r="I40" i="1"/>
  <c r="J40" i="1"/>
  <c r="K40" i="1"/>
  <c r="L40" i="1"/>
  <c r="M40" i="1"/>
  <c r="N40" i="1"/>
  <c r="O40" i="1"/>
  <c r="P40" i="1"/>
  <c r="Q40" i="1"/>
  <c r="R40" i="1"/>
  <c r="S40" i="1"/>
  <c r="I39" i="1"/>
  <c r="J39" i="1"/>
  <c r="K39" i="1"/>
  <c r="L39" i="1"/>
  <c r="M39" i="1"/>
  <c r="N39" i="1"/>
  <c r="O39" i="1"/>
  <c r="P39" i="1"/>
  <c r="Q39" i="1"/>
  <c r="R39" i="1"/>
  <c r="S39" i="1"/>
  <c r="H39" i="1"/>
  <c r="I38" i="1"/>
  <c r="J38" i="1"/>
  <c r="K38" i="1"/>
  <c r="L38" i="1"/>
  <c r="M38" i="1"/>
  <c r="N38" i="1"/>
  <c r="O38" i="1"/>
  <c r="P38" i="1"/>
  <c r="Q38" i="1"/>
  <c r="R38" i="1"/>
  <c r="S38" i="1"/>
  <c r="H38" i="1"/>
  <c r="I37" i="1"/>
  <c r="J37" i="1"/>
  <c r="K37" i="1"/>
  <c r="L37" i="1"/>
  <c r="M37" i="1"/>
  <c r="N37" i="1"/>
  <c r="O37" i="1"/>
  <c r="P37" i="1"/>
  <c r="Q37" i="1"/>
  <c r="R37" i="1"/>
  <c r="S37" i="1"/>
  <c r="I62" i="1"/>
  <c r="H62" i="1" s="1"/>
  <c r="H122" i="1"/>
  <c r="S75" i="1"/>
  <c r="S122" i="1" s="1"/>
  <c r="F121" i="1"/>
  <c r="I73" i="1"/>
  <c r="I120" i="1" s="1"/>
  <c r="J73" i="1"/>
  <c r="J120" i="1" s="1"/>
  <c r="K73" i="1"/>
  <c r="K120" i="1" s="1"/>
  <c r="L73" i="1"/>
  <c r="L120" i="1" s="1"/>
  <c r="M73" i="1"/>
  <c r="M120" i="1" s="1"/>
  <c r="N73" i="1"/>
  <c r="N120" i="1" s="1"/>
  <c r="O73" i="1"/>
  <c r="O120" i="1" s="1"/>
  <c r="P73" i="1"/>
  <c r="P120" i="1" s="1"/>
  <c r="Q73" i="1"/>
  <c r="Q120" i="1" s="1"/>
  <c r="R73" i="1"/>
  <c r="R120" i="1" s="1"/>
  <c r="S73" i="1"/>
  <c r="S120" i="1" s="1"/>
  <c r="H73" i="1"/>
  <c r="H120" i="1" s="1"/>
  <c r="I72" i="1"/>
  <c r="J72" i="1"/>
  <c r="K72" i="1"/>
  <c r="L72" i="1"/>
  <c r="M72" i="1"/>
  <c r="N72" i="1"/>
  <c r="O72" i="1"/>
  <c r="P72" i="1"/>
  <c r="Q72" i="1"/>
  <c r="R72" i="1"/>
  <c r="S72" i="1"/>
  <c r="H72" i="1"/>
  <c r="H119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F114" i="1"/>
  <c r="N114" i="1" s="1"/>
  <c r="I112" i="1"/>
  <c r="J112" i="1"/>
  <c r="K112" i="1"/>
  <c r="L112" i="1"/>
  <c r="M112" i="1"/>
  <c r="N112" i="1"/>
  <c r="O112" i="1"/>
  <c r="P112" i="1"/>
  <c r="Q112" i="1"/>
  <c r="R112" i="1"/>
  <c r="S112" i="1"/>
  <c r="H112" i="1"/>
  <c r="F110" i="1"/>
  <c r="J110" i="1" s="1"/>
  <c r="F113" i="1"/>
  <c r="H113" i="1" s="1"/>
  <c r="H109" i="1"/>
  <c r="S109" i="1"/>
  <c r="I106" i="1"/>
  <c r="J106" i="1"/>
  <c r="K106" i="1"/>
  <c r="L106" i="1"/>
  <c r="M106" i="1"/>
  <c r="N106" i="1"/>
  <c r="O106" i="1"/>
  <c r="P106" i="1"/>
  <c r="Q106" i="1"/>
  <c r="R106" i="1"/>
  <c r="S106" i="1"/>
  <c r="F108" i="1"/>
  <c r="S108" i="1" s="1"/>
  <c r="F107" i="1"/>
  <c r="K107" i="1" s="1"/>
  <c r="H106" i="1"/>
  <c r="F104" i="1"/>
  <c r="M104" i="1" s="1"/>
  <c r="H103" i="1"/>
  <c r="F102" i="1"/>
  <c r="S102" i="1" s="1"/>
  <c r="H100" i="1"/>
  <c r="I100" i="1"/>
  <c r="J100" i="1"/>
  <c r="K100" i="1"/>
  <c r="L100" i="1"/>
  <c r="M100" i="1"/>
  <c r="N100" i="1"/>
  <c r="O100" i="1"/>
  <c r="P100" i="1"/>
  <c r="Q100" i="1"/>
  <c r="R100" i="1"/>
  <c r="S100" i="1"/>
  <c r="F101" i="1"/>
  <c r="O101" i="1" s="1"/>
  <c r="F99" i="1"/>
  <c r="J99" i="1" s="1"/>
  <c r="H98" i="1"/>
  <c r="I95" i="1"/>
  <c r="J95" i="1"/>
  <c r="K95" i="1"/>
  <c r="L95" i="1"/>
  <c r="M95" i="1"/>
  <c r="N95" i="1"/>
  <c r="O95" i="1"/>
  <c r="P95" i="1"/>
  <c r="Q95" i="1"/>
  <c r="R95" i="1"/>
  <c r="S95" i="1"/>
  <c r="H95" i="1"/>
  <c r="F93" i="1"/>
  <c r="F96" i="1" s="1"/>
  <c r="N96" i="1" s="1"/>
  <c r="F94" i="1"/>
  <c r="M94" i="1" s="1"/>
  <c r="H90" i="1"/>
  <c r="F85" i="1"/>
  <c r="F88" i="1"/>
  <c r="F87" i="1"/>
  <c r="F91" i="1" s="1"/>
  <c r="F86" i="1"/>
  <c r="I65" i="1"/>
  <c r="J65" i="1" s="1"/>
  <c r="K65" i="1" s="1"/>
  <c r="L65" i="1" s="1"/>
  <c r="M65" i="1" s="1"/>
  <c r="N65" i="1" s="1"/>
  <c r="O65" i="1" s="1"/>
  <c r="P65" i="1" s="1"/>
  <c r="Q65" i="1" s="1"/>
  <c r="R65" i="1" s="1"/>
  <c r="S65" i="1" s="1"/>
  <c r="S90" i="1" s="1"/>
  <c r="J63" i="1"/>
  <c r="K63" i="1"/>
  <c r="L63" i="1"/>
  <c r="M63" i="1"/>
  <c r="N63" i="1"/>
  <c r="O63" i="1"/>
  <c r="P63" i="1"/>
  <c r="Q63" i="1"/>
  <c r="R63" i="1"/>
  <c r="S63" i="1" s="1"/>
  <c r="I63" i="1"/>
  <c r="H63" i="1" s="1"/>
  <c r="J62" i="1"/>
  <c r="K62" i="1"/>
  <c r="L62" i="1"/>
  <c r="M62" i="1"/>
  <c r="N62" i="1"/>
  <c r="O62" i="1"/>
  <c r="P62" i="1"/>
  <c r="Q62" i="1"/>
  <c r="R62" i="1"/>
  <c r="S62" i="1" s="1"/>
  <c r="O75" i="1"/>
  <c r="O122" i="1" s="1"/>
  <c r="L75" i="1"/>
  <c r="J75" i="1"/>
  <c r="J122" i="1" s="1"/>
  <c r="I75" i="1"/>
  <c r="I122" i="1" s="1"/>
  <c r="M23" i="1"/>
  <c r="M43" i="1" s="1"/>
  <c r="P23" i="1"/>
  <c r="P43" i="1" s="1"/>
  <c r="I99" i="1" l="1"/>
  <c r="L94" i="1"/>
  <c r="K94" i="1"/>
  <c r="R87" i="1"/>
  <c r="S99" i="1"/>
  <c r="P60" i="2"/>
  <c r="I60" i="2"/>
  <c r="Q60" i="2"/>
  <c r="J60" i="2"/>
  <c r="R60" i="2"/>
  <c r="K60" i="2"/>
  <c r="S60" i="2"/>
  <c r="L60" i="2"/>
  <c r="H60" i="2"/>
  <c r="M60" i="2"/>
  <c r="N60" i="2"/>
  <c r="O60" i="2"/>
  <c r="Q22" i="2"/>
  <c r="Q23" i="2" s="1"/>
  <c r="H22" i="2"/>
  <c r="H23" i="2" s="1"/>
  <c r="S87" i="1"/>
  <c r="Q99" i="1"/>
  <c r="I107" i="1"/>
  <c r="L114" i="1"/>
  <c r="K87" i="1"/>
  <c r="S101" i="1"/>
  <c r="R101" i="1"/>
  <c r="O90" i="1"/>
  <c r="N90" i="1"/>
  <c r="H96" i="1"/>
  <c r="H99" i="1"/>
  <c r="H110" i="1"/>
  <c r="N91" i="1"/>
  <c r="H91" i="1"/>
  <c r="H94" i="1"/>
  <c r="S104" i="1"/>
  <c r="L104" i="1"/>
  <c r="I110" i="1"/>
  <c r="H114" i="1"/>
  <c r="F117" i="1"/>
  <c r="S117" i="1" s="1"/>
  <c r="N143" i="1"/>
  <c r="I114" i="1"/>
  <c r="J87" i="1"/>
  <c r="M91" i="1"/>
  <c r="S96" i="1"/>
  <c r="F97" i="1"/>
  <c r="S97" i="1" s="1"/>
  <c r="P99" i="1"/>
  <c r="M101" i="1"/>
  <c r="O114" i="1"/>
  <c r="L91" i="1"/>
  <c r="P96" i="1"/>
  <c r="O99" i="1"/>
  <c r="J101" i="1"/>
  <c r="H104" i="1"/>
  <c r="R107" i="1"/>
  <c r="Q110" i="1"/>
  <c r="P114" i="1"/>
  <c r="F116" i="1"/>
  <c r="K116" i="1" s="1"/>
  <c r="N121" i="1"/>
  <c r="M96" i="1"/>
  <c r="M99" i="1"/>
  <c r="Q107" i="1"/>
  <c r="P110" i="1"/>
  <c r="Q114" i="1"/>
  <c r="P107" i="1"/>
  <c r="L96" i="1"/>
  <c r="L99" i="1"/>
  <c r="O110" i="1"/>
  <c r="M87" i="1"/>
  <c r="S94" i="1"/>
  <c r="K96" i="1"/>
  <c r="K99" i="1"/>
  <c r="K104" i="1"/>
  <c r="M107" i="1"/>
  <c r="L110" i="1"/>
  <c r="J107" i="1"/>
  <c r="M121" i="1"/>
  <c r="H121" i="1"/>
  <c r="Q87" i="1"/>
  <c r="M88" i="1"/>
  <c r="M90" i="1"/>
  <c r="S91" i="1"/>
  <c r="K91" i="1"/>
  <c r="R94" i="1"/>
  <c r="J94" i="1"/>
  <c r="R96" i="1"/>
  <c r="J96" i="1"/>
  <c r="N99" i="1"/>
  <c r="Q101" i="1"/>
  <c r="R104" i="1"/>
  <c r="J104" i="1"/>
  <c r="O107" i="1"/>
  <c r="N110" i="1"/>
  <c r="J114" i="1"/>
  <c r="R114" i="1"/>
  <c r="S121" i="1"/>
  <c r="K121" i="1"/>
  <c r="H143" i="1"/>
  <c r="L143" i="1"/>
  <c r="P87" i="1"/>
  <c r="I90" i="1"/>
  <c r="L90" i="1"/>
  <c r="R91" i="1"/>
  <c r="J91" i="1"/>
  <c r="Q94" i="1"/>
  <c r="I94" i="1"/>
  <c r="Q96" i="1"/>
  <c r="I96" i="1"/>
  <c r="N101" i="1"/>
  <c r="Q104" i="1"/>
  <c r="I104" i="1"/>
  <c r="N107" i="1"/>
  <c r="M110" i="1"/>
  <c r="K114" i="1"/>
  <c r="S114" i="1"/>
  <c r="R121" i="1"/>
  <c r="J121" i="1"/>
  <c r="S143" i="1"/>
  <c r="K143" i="1"/>
  <c r="S24" i="1"/>
  <c r="S29" i="1" s="1"/>
  <c r="O87" i="1"/>
  <c r="K90" i="1"/>
  <c r="Q91" i="1"/>
  <c r="I91" i="1"/>
  <c r="P94" i="1"/>
  <c r="P104" i="1"/>
  <c r="Q121" i="1"/>
  <c r="I121" i="1"/>
  <c r="R143" i="1"/>
  <c r="J143" i="1"/>
  <c r="N87" i="1"/>
  <c r="R90" i="1"/>
  <c r="J90" i="1"/>
  <c r="P91" i="1"/>
  <c r="F92" i="1"/>
  <c r="S92" i="1" s="1"/>
  <c r="O94" i="1"/>
  <c r="O96" i="1"/>
  <c r="L101" i="1"/>
  <c r="O104" i="1"/>
  <c r="H107" i="1"/>
  <c r="L107" i="1"/>
  <c r="S110" i="1"/>
  <c r="K110" i="1"/>
  <c r="M114" i="1"/>
  <c r="P121" i="1"/>
  <c r="Q143" i="1"/>
  <c r="I143" i="1"/>
  <c r="H87" i="1"/>
  <c r="Q90" i="1"/>
  <c r="O91" i="1"/>
  <c r="N94" i="1"/>
  <c r="R99" i="1"/>
  <c r="K101" i="1"/>
  <c r="N104" i="1"/>
  <c r="S107" i="1"/>
  <c r="R110" i="1"/>
  <c r="O121" i="1"/>
  <c r="P143" i="1"/>
  <c r="L121" i="1"/>
  <c r="M143" i="1"/>
  <c r="I87" i="1"/>
  <c r="L87" i="1"/>
  <c r="P90" i="1"/>
  <c r="M142" i="1"/>
  <c r="L142" i="1"/>
  <c r="P24" i="1"/>
  <c r="P29" i="1" s="1"/>
  <c r="R142" i="1"/>
  <c r="K142" i="1"/>
  <c r="N23" i="1"/>
  <c r="L23" i="1"/>
  <c r="K23" i="1"/>
  <c r="K43" i="1" s="1"/>
  <c r="R23" i="1"/>
  <c r="R43" i="1" s="1"/>
  <c r="J23" i="1"/>
  <c r="J43" i="1" s="1"/>
  <c r="M24" i="1"/>
  <c r="M29" i="1" s="1"/>
  <c r="I23" i="1"/>
  <c r="I43" i="1" s="1"/>
  <c r="Q23" i="1"/>
  <c r="O23" i="1"/>
  <c r="O76" i="1"/>
  <c r="O118" i="1" s="1"/>
  <c r="J76" i="1"/>
  <c r="J118" i="1" s="1"/>
  <c r="R75" i="1"/>
  <c r="R122" i="1" s="1"/>
  <c r="M75" i="1"/>
  <c r="M122" i="1" s="1"/>
  <c r="L122" i="1"/>
  <c r="L76" i="1"/>
  <c r="L118" i="1" s="1"/>
  <c r="K75" i="1"/>
  <c r="K122" i="1" s="1"/>
  <c r="Q75" i="1"/>
  <c r="Q122" i="1" s="1"/>
  <c r="I76" i="1"/>
  <c r="I118" i="1" s="1"/>
  <c r="P75" i="1"/>
  <c r="P122" i="1" s="1"/>
  <c r="N75" i="1"/>
  <c r="N122" i="1" s="1"/>
  <c r="H64" i="1"/>
  <c r="H83" i="1" s="1"/>
  <c r="K64" i="1"/>
  <c r="K84" i="1" s="1"/>
  <c r="N64" i="1"/>
  <c r="N85" i="1" s="1"/>
  <c r="P64" i="1"/>
  <c r="P85" i="1" s="1"/>
  <c r="S64" i="1"/>
  <c r="S85" i="1" s="1"/>
  <c r="J64" i="1"/>
  <c r="Q64" i="1"/>
  <c r="Q85" i="1" s="1"/>
  <c r="I101" i="1"/>
  <c r="P101" i="1"/>
  <c r="H101" i="1"/>
  <c r="O93" i="1"/>
  <c r="N93" i="1"/>
  <c r="M93" i="1"/>
  <c r="P93" i="1"/>
  <c r="I93" i="1"/>
  <c r="L93" i="1"/>
  <c r="S93" i="1"/>
  <c r="K93" i="1"/>
  <c r="R93" i="1"/>
  <c r="J93" i="1"/>
  <c r="Q93" i="1"/>
  <c r="H93" i="1"/>
  <c r="I88" i="1"/>
  <c r="O88" i="1"/>
  <c r="N88" i="1"/>
  <c r="P88" i="1"/>
  <c r="H88" i="1"/>
  <c r="L88" i="1"/>
  <c r="S88" i="1"/>
  <c r="K88" i="1"/>
  <c r="R88" i="1"/>
  <c r="J88" i="1"/>
  <c r="Q88" i="1"/>
  <c r="O64" i="1"/>
  <c r="L64" i="1"/>
  <c r="L85" i="1" s="1"/>
  <c r="M64" i="1"/>
  <c r="M85" i="1" s="1"/>
  <c r="R64" i="1"/>
  <c r="I64" i="1"/>
  <c r="I85" i="1" s="1"/>
  <c r="S116" i="1" l="1"/>
  <c r="N116" i="1"/>
  <c r="F94" i="2"/>
  <c r="E49" i="4" s="1"/>
  <c r="P94" i="4"/>
  <c r="Q29" i="2"/>
  <c r="M22" i="2"/>
  <c r="M23" i="2" s="1"/>
  <c r="O22" i="2"/>
  <c r="O23" i="2" s="1"/>
  <c r="R22" i="2"/>
  <c r="R23" i="2" s="1"/>
  <c r="K22" i="2"/>
  <c r="K23" i="2" s="1"/>
  <c r="L22" i="2"/>
  <c r="L23" i="2" s="1"/>
  <c r="I22" i="2"/>
  <c r="I23" i="2" s="1"/>
  <c r="J22" i="2"/>
  <c r="J23" i="2" s="1"/>
  <c r="S22" i="2"/>
  <c r="S23" i="2" s="1"/>
  <c r="P22" i="2"/>
  <c r="P23" i="2" s="1"/>
  <c r="N22" i="2"/>
  <c r="N23" i="2" s="1"/>
  <c r="R116" i="1"/>
  <c r="J116" i="1"/>
  <c r="I116" i="1"/>
  <c r="O116" i="1"/>
  <c r="P116" i="1"/>
  <c r="Q116" i="1"/>
  <c r="H116" i="1"/>
  <c r="M116" i="1"/>
  <c r="L116" i="1"/>
  <c r="K24" i="1"/>
  <c r="K29" i="1" s="1"/>
  <c r="R24" i="1"/>
  <c r="R29" i="1" s="1"/>
  <c r="O24" i="1"/>
  <c r="O29" i="1" s="1"/>
  <c r="O43" i="1"/>
  <c r="L24" i="1"/>
  <c r="L29" i="1" s="1"/>
  <c r="L43" i="1"/>
  <c r="I24" i="1"/>
  <c r="N24" i="1"/>
  <c r="N29" i="1" s="1"/>
  <c r="N43" i="1"/>
  <c r="Q24" i="1"/>
  <c r="Q29" i="1" s="1"/>
  <c r="Q43" i="1"/>
  <c r="J24" i="1"/>
  <c r="J29" i="1" s="1"/>
  <c r="P76" i="1"/>
  <c r="P118" i="1" s="1"/>
  <c r="M76" i="1"/>
  <c r="M118" i="1" s="1"/>
  <c r="R76" i="1"/>
  <c r="R118" i="1" s="1"/>
  <c r="K76" i="1"/>
  <c r="K118" i="1" s="1"/>
  <c r="N76" i="1"/>
  <c r="N118" i="1" s="1"/>
  <c r="Q76" i="1"/>
  <c r="Q118" i="1" s="1"/>
  <c r="K83" i="1"/>
  <c r="K85" i="1"/>
  <c r="H84" i="1"/>
  <c r="H85" i="1"/>
  <c r="P83" i="1"/>
  <c r="P84" i="1"/>
  <c r="Q84" i="1"/>
  <c r="Q83" i="1"/>
  <c r="Q123" i="1" s="1"/>
  <c r="J84" i="1"/>
  <c r="J83" i="1"/>
  <c r="R84" i="1"/>
  <c r="R83" i="1"/>
  <c r="O83" i="1"/>
  <c r="O84" i="1"/>
  <c r="S86" i="1"/>
  <c r="S84" i="1"/>
  <c r="S83" i="1"/>
  <c r="M84" i="1"/>
  <c r="M83" i="1"/>
  <c r="R85" i="1"/>
  <c r="L84" i="1"/>
  <c r="L83" i="1"/>
  <c r="L123" i="1" s="1"/>
  <c r="N83" i="1"/>
  <c r="N84" i="1"/>
  <c r="I84" i="1"/>
  <c r="I83" i="1"/>
  <c r="I123" i="1" s="1"/>
  <c r="J85" i="1"/>
  <c r="O85" i="1"/>
  <c r="H123" i="1" l="1"/>
  <c r="J123" i="1"/>
  <c r="J124" i="1" s="1"/>
  <c r="M123" i="1"/>
  <c r="S123" i="1"/>
  <c r="S124" i="1" s="1"/>
  <c r="K123" i="1"/>
  <c r="K124" i="1" s="1"/>
  <c r="N123" i="1"/>
  <c r="N124" i="1" s="1"/>
  <c r="R123" i="1"/>
  <c r="R124" i="1" s="1"/>
  <c r="O123" i="1"/>
  <c r="O124" i="1" s="1"/>
  <c r="P123" i="1"/>
  <c r="P124" i="1" s="1"/>
  <c r="I29" i="1"/>
  <c r="D94" i="2"/>
  <c r="E12" i="4" s="1"/>
  <c r="L29" i="2"/>
  <c r="I94" i="4"/>
  <c r="N29" i="2"/>
  <c r="M94" i="4"/>
  <c r="N94" i="4"/>
  <c r="O29" i="2"/>
  <c r="O94" i="4"/>
  <c r="P29" i="2"/>
  <c r="J94" i="4"/>
  <c r="M29" i="2"/>
  <c r="K29" i="2"/>
  <c r="H94" i="4"/>
  <c r="S29" i="2"/>
  <c r="R94" i="4"/>
  <c r="J29" i="2"/>
  <c r="G94" i="4"/>
  <c r="R29" i="2"/>
  <c r="Q94" i="4"/>
  <c r="I29" i="2"/>
  <c r="F94" i="4"/>
  <c r="H64" i="2"/>
  <c r="H65" i="2" s="1"/>
  <c r="I64" i="2"/>
  <c r="I65" i="2" s="1"/>
  <c r="J64" i="2"/>
  <c r="J65" i="2" s="1"/>
  <c r="P147" i="1"/>
  <c r="P148" i="1" s="1"/>
  <c r="L147" i="1"/>
  <c r="L148" i="1" s="1"/>
  <c r="M147" i="1"/>
  <c r="M148" i="1" s="1"/>
  <c r="I147" i="1"/>
  <c r="I148" i="1" s="1"/>
  <c r="Q147" i="1"/>
  <c r="Q148" i="1" s="1"/>
  <c r="N147" i="1"/>
  <c r="N148" i="1" s="1"/>
  <c r="R147" i="1"/>
  <c r="R148" i="1" s="1"/>
  <c r="K147" i="1"/>
  <c r="K148" i="1" s="1"/>
  <c r="O147" i="1"/>
  <c r="O148" i="1" s="1"/>
  <c r="J147" i="1"/>
  <c r="J148" i="1" s="1"/>
  <c r="S147" i="1"/>
  <c r="S148" i="1" s="1"/>
  <c r="H147" i="1"/>
  <c r="H148" i="1" s="1"/>
  <c r="F159" i="1" s="1"/>
  <c r="I48" i="4" s="1"/>
  <c r="M124" i="1"/>
  <c r="I124" i="1"/>
  <c r="L124" i="1"/>
  <c r="Q124" i="1"/>
  <c r="H124" i="1"/>
  <c r="K94" i="4" l="1"/>
  <c r="S94" i="4"/>
  <c r="K48" i="4"/>
  <c r="F95" i="2"/>
  <c r="G49" i="4" s="1"/>
  <c r="D159" i="1"/>
  <c r="F158" i="1"/>
  <c r="G48" i="4" s="1"/>
  <c r="D158" i="1"/>
  <c r="E96" i="2"/>
  <c r="G94" i="2"/>
  <c r="F49" i="4" s="1"/>
  <c r="E94" i="2"/>
  <c r="K64" i="2"/>
  <c r="K65" i="2" s="1"/>
  <c r="G11" i="4" l="1"/>
  <c r="G159" i="1"/>
  <c r="J48" i="4" s="1"/>
  <c r="G158" i="1"/>
  <c r="H48" i="4" s="1"/>
  <c r="F11" i="4"/>
  <c r="L64" i="2"/>
  <c r="L65" i="2" s="1"/>
  <c r="L48" i="4" l="1"/>
  <c r="M64" i="2"/>
  <c r="M65" i="2" s="1"/>
  <c r="N64" i="2"/>
  <c r="N65" i="2" s="1"/>
  <c r="O64" i="2" l="1"/>
  <c r="O65" i="2" s="1"/>
  <c r="P64" i="2" l="1"/>
  <c r="P65" i="2" s="1"/>
  <c r="Q64" i="2" l="1"/>
  <c r="Q65" i="2" s="1"/>
  <c r="R64" i="2" l="1"/>
  <c r="R65" i="2" s="1"/>
  <c r="S64" i="2" l="1"/>
  <c r="S65" i="2" s="1"/>
  <c r="D95" i="2" s="1"/>
  <c r="F12" i="4" l="1"/>
  <c r="E95" i="2"/>
  <c r="G95" i="2"/>
  <c r="H49" i="4" s="1"/>
  <c r="Q44" i="1" l="1"/>
  <c r="Q45" i="1" s="1"/>
  <c r="J44" i="1"/>
  <c r="J45" i="1" s="1"/>
  <c r="R44" i="1"/>
  <c r="R45" i="1" s="1"/>
  <c r="P44" i="1"/>
  <c r="P45" i="1" s="1"/>
  <c r="K44" i="1"/>
  <c r="K45" i="1" s="1"/>
  <c r="L44" i="1"/>
  <c r="L45" i="1" s="1"/>
  <c r="O44" i="1"/>
  <c r="O45" i="1" s="1"/>
  <c r="M44" i="1"/>
  <c r="M45" i="1" s="1"/>
  <c r="N44" i="1"/>
  <c r="N45" i="1" s="1"/>
  <c r="I93" i="4" l="1"/>
  <c r="L51" i="1"/>
  <c r="G93" i="4"/>
  <c r="J51" i="1"/>
  <c r="P51" i="1"/>
  <c r="O93" i="4"/>
  <c r="N51" i="1"/>
  <c r="M93" i="4"/>
  <c r="Q51" i="1"/>
  <c r="P93" i="4"/>
  <c r="H93" i="4"/>
  <c r="K51" i="1"/>
  <c r="Q93" i="4"/>
  <c r="R51" i="1"/>
  <c r="M51" i="1"/>
  <c r="J93" i="4"/>
  <c r="O51" i="1"/>
  <c r="N93" i="4"/>
  <c r="I44" i="1"/>
  <c r="I45" i="1" s="1"/>
  <c r="S44" i="1"/>
  <c r="H48" i="1"/>
  <c r="H21" i="1"/>
  <c r="H40" i="1" s="1"/>
  <c r="S45" i="1" l="1"/>
  <c r="R93" i="4"/>
  <c r="R96" i="4" s="1"/>
  <c r="S51" i="1"/>
  <c r="M25" i="5" s="1"/>
  <c r="H44" i="1"/>
  <c r="H49" i="1"/>
  <c r="I51" i="1"/>
  <c r="F93" i="4"/>
  <c r="S93" i="4" l="1"/>
  <c r="K93" i="4"/>
  <c r="H45" i="1"/>
  <c r="F157" i="1" s="1"/>
  <c r="H50" i="1"/>
  <c r="B8" i="5"/>
  <c r="D157" i="1" l="1"/>
  <c r="E11" i="4" s="1"/>
  <c r="E48" i="4"/>
  <c r="E159" i="1" l="1"/>
  <c r="E157" i="1"/>
  <c r="G157" i="1"/>
  <c r="F48" i="4" s="1"/>
  <c r="E158" i="1"/>
  <c r="L11" i="3" l="1"/>
  <c r="O11" i="3" l="1"/>
  <c r="H17" i="3"/>
  <c r="H72" i="3"/>
  <c r="H76" i="3" s="1"/>
  <c r="B7" i="5" s="1"/>
  <c r="J11" i="3"/>
  <c r="H11" i="3"/>
  <c r="I11" i="3"/>
  <c r="Q11" i="3"/>
  <c r="K11" i="3"/>
  <c r="N11" i="3"/>
  <c r="P11" i="3"/>
  <c r="L72" i="3"/>
  <c r="L17" i="3"/>
  <c r="L25" i="3" s="1"/>
  <c r="M11" i="3"/>
  <c r="R11" i="3"/>
  <c r="O72" i="3"/>
  <c r="O17" i="3"/>
  <c r="O25" i="3" s="1"/>
  <c r="N95" i="4" l="1"/>
  <c r="O79" i="3"/>
  <c r="I95" i="4"/>
  <c r="L79" i="3"/>
  <c r="H73" i="3"/>
  <c r="F82" i="3" s="1"/>
  <c r="G50" i="4" s="1"/>
  <c r="H75" i="3"/>
  <c r="B6" i="5" s="1"/>
  <c r="L73" i="3"/>
  <c r="O73" i="3"/>
  <c r="R72" i="3"/>
  <c r="R17" i="3"/>
  <c r="R25" i="3" s="1"/>
  <c r="I17" i="3"/>
  <c r="I25" i="3" s="1"/>
  <c r="I72" i="3"/>
  <c r="L26" i="3"/>
  <c r="P17" i="3"/>
  <c r="P25" i="3" s="1"/>
  <c r="P72" i="3"/>
  <c r="K17" i="3"/>
  <c r="K25" i="3" s="1"/>
  <c r="K72" i="3"/>
  <c r="Q17" i="3"/>
  <c r="Q25" i="3" s="1"/>
  <c r="Q72" i="3"/>
  <c r="H25" i="3"/>
  <c r="H26" i="3" s="1"/>
  <c r="J17" i="3"/>
  <c r="J25" i="3" s="1"/>
  <c r="J72" i="3"/>
  <c r="M17" i="3"/>
  <c r="M25" i="3" s="1"/>
  <c r="M72" i="3"/>
  <c r="O26" i="3"/>
  <c r="N17" i="3"/>
  <c r="N25" i="3" s="1"/>
  <c r="N72" i="3"/>
  <c r="F95" i="4" l="1"/>
  <c r="I79" i="3"/>
  <c r="H95" i="4"/>
  <c r="K79" i="3"/>
  <c r="J95" i="4"/>
  <c r="M79" i="3"/>
  <c r="M95" i="4"/>
  <c r="N79" i="3"/>
  <c r="P95" i="4"/>
  <c r="Q79" i="3"/>
  <c r="O95" i="4"/>
  <c r="P79" i="3"/>
  <c r="Q95" i="4"/>
  <c r="R79" i="3"/>
  <c r="G95" i="4"/>
  <c r="J79" i="3"/>
  <c r="F81" i="3"/>
  <c r="E50" i="4" s="1"/>
  <c r="R73" i="3"/>
  <c r="P73" i="3"/>
  <c r="N73" i="3"/>
  <c r="Q73" i="3"/>
  <c r="J73" i="3"/>
  <c r="I73" i="3"/>
  <c r="M73" i="3"/>
  <c r="K73" i="3"/>
  <c r="B9" i="5"/>
  <c r="M26" i="3"/>
  <c r="K26" i="3"/>
  <c r="K50" i="4"/>
  <c r="K51" i="4" s="1"/>
  <c r="H55" i="4" s="1"/>
  <c r="G51" i="4"/>
  <c r="F55" i="4" s="1"/>
  <c r="I26" i="3"/>
  <c r="P26" i="3"/>
  <c r="R26" i="3"/>
  <c r="Q26" i="3"/>
  <c r="J26" i="3"/>
  <c r="N26" i="3"/>
  <c r="K95" i="4" l="1"/>
  <c r="S95" i="4"/>
  <c r="E91" i="4"/>
  <c r="B21" i="5"/>
  <c r="D81" i="3"/>
  <c r="G81" i="3" s="1"/>
  <c r="D82" i="3"/>
  <c r="H17" i="4" s="1"/>
  <c r="I50" i="4"/>
  <c r="I51" i="4" s="1"/>
  <c r="G55" i="4" s="1"/>
  <c r="E51" i="4"/>
  <c r="E55" i="4" s="1"/>
  <c r="K91" i="4" l="1"/>
  <c r="S91" i="4"/>
  <c r="E81" i="3"/>
  <c r="G82" i="3"/>
  <c r="H50" i="4" s="1"/>
  <c r="H51" i="4" s="1"/>
  <c r="F56" i="4" s="1"/>
  <c r="F58" i="4" s="1"/>
  <c r="F13" i="4"/>
  <c r="F14" i="4" s="1"/>
  <c r="F17" i="4" s="1"/>
  <c r="E82" i="3"/>
  <c r="G17" i="4"/>
  <c r="E13" i="4"/>
  <c r="E14" i="4" s="1"/>
  <c r="E17" i="4" s="1"/>
  <c r="F50" i="4"/>
  <c r="F51" i="4" s="1"/>
  <c r="E56" i="4" s="1"/>
  <c r="E58" i="4" s="1"/>
  <c r="L50" i="4" l="1"/>
  <c r="L51" i="4" s="1"/>
  <c r="H56" i="4" s="1"/>
  <c r="H58" i="4" s="1"/>
  <c r="F57" i="4"/>
  <c r="J50" i="4"/>
  <c r="J51" i="4" s="1"/>
  <c r="G56" i="4" s="1"/>
  <c r="G58" i="4" s="1"/>
  <c r="E57" i="4"/>
  <c r="H57" i="4" l="1"/>
  <c r="G57" i="4"/>
  <c r="K24" i="5" l="1"/>
  <c r="H24" i="5"/>
  <c r="I24" i="5"/>
  <c r="J24" i="5"/>
  <c r="L24" i="5"/>
  <c r="N92" i="4" l="1"/>
  <c r="N96" i="4" s="1"/>
  <c r="I25" i="5"/>
  <c r="M92" i="4"/>
  <c r="M96" i="4" s="1"/>
  <c r="H25" i="5"/>
  <c r="Q92" i="4"/>
  <c r="Q96" i="4" s="1"/>
  <c r="L25" i="5"/>
  <c r="P92" i="4"/>
  <c r="P96" i="4" s="1"/>
  <c r="K25" i="5"/>
  <c r="O92" i="4"/>
  <c r="O96" i="4" s="1"/>
  <c r="J25" i="5"/>
  <c r="C17" i="5" l="1"/>
  <c r="C16" i="5" l="1"/>
  <c r="G24" i="5"/>
  <c r="D24" i="5"/>
  <c r="E24" i="5"/>
  <c r="C24" i="5"/>
  <c r="F24" i="5"/>
  <c r="C15" i="5"/>
  <c r="I92" i="4" l="1"/>
  <c r="I96" i="4" s="1"/>
  <c r="F25" i="5"/>
  <c r="C25" i="5"/>
  <c r="F92" i="4"/>
  <c r="F96" i="4" s="1"/>
  <c r="D25" i="5"/>
  <c r="G92" i="4"/>
  <c r="G96" i="4" s="1"/>
  <c r="B10" i="5"/>
  <c r="C19" i="5"/>
  <c r="E25" i="5"/>
  <c r="H92" i="4"/>
  <c r="H96" i="4" s="1"/>
  <c r="J92" i="4"/>
  <c r="J96" i="4" s="1"/>
  <c r="G25" i="5"/>
  <c r="E92" i="4" l="1"/>
  <c r="K92" i="4" s="1"/>
  <c r="K96" i="4" s="1"/>
  <c r="S92" i="4" l="1"/>
  <c r="S96" i="4" s="1"/>
  <c r="E96" i="4"/>
</calcChain>
</file>

<file path=xl/sharedStrings.xml><?xml version="1.0" encoding="utf-8"?>
<sst xmlns="http://schemas.openxmlformats.org/spreadsheetml/2006/main" count="974" uniqueCount="514">
  <si>
    <t>Položka</t>
  </si>
  <si>
    <t>Vec</t>
  </si>
  <si>
    <t>Metrika</t>
  </si>
  <si>
    <t>Metóda stanovenia výdavkov</t>
  </si>
  <si>
    <t>Odmena za komplexné Zákaznícke služby v Etape 2</t>
  </si>
  <si>
    <t>pevná percentná sadzba z vybranej sumy Mýta za mesiac</t>
  </si>
  <si>
    <t>Služby prevádzky 1 DP v Etape 1 a Etape 3</t>
  </si>
  <si>
    <t>1 DP a mesiac</t>
  </si>
  <si>
    <t>Služby prevádzky 1 BDP v Etape 1 a Etape 3</t>
  </si>
  <si>
    <t>1 BDP a mesiac</t>
  </si>
  <si>
    <t>Služby prevádzky 1 CP v Etape 1 a Etape 3</t>
  </si>
  <si>
    <t>1 CP a mesiac</t>
  </si>
  <si>
    <t>Služby prevádzky Call-centra v Etape 1 a Etape 3</t>
  </si>
  <si>
    <t>1 mesiac</t>
  </si>
  <si>
    <t>Služby prevádzky elektronických kanálov Zákazníckych služieb v Etape 1 a Etape 3</t>
  </si>
  <si>
    <t>Služby informačnej kampane v Etape 1 a Etape 3</t>
  </si>
  <si>
    <t>Služby výkonu agendy Riadenie vzťahov so Zákazníkmi v Etape 1 a Etape 3</t>
  </si>
  <si>
    <t>Odmena za platobné transakcie realizované Palivovými a Platobnými kartami</t>
  </si>
  <si>
    <t>percentná sadzba z peňažného objemu platobných transakcií</t>
  </si>
  <si>
    <t>Kontrola a projektový management, vykonávaný pracovníkmi NDS</t>
  </si>
  <si>
    <t>priemerné mesačné osobné náklady na 1 pracovníka</t>
  </si>
  <si>
    <t>Služby Supervízora výberu Mýta</t>
  </si>
  <si>
    <t>C1.1</t>
  </si>
  <si>
    <t>C1.2</t>
  </si>
  <si>
    <t>C1.3</t>
  </si>
  <si>
    <t>C1.4</t>
  </si>
  <si>
    <t>C1.5</t>
  </si>
  <si>
    <t>C1.6</t>
  </si>
  <si>
    <t>C1.7</t>
  </si>
  <si>
    <t>C1.8</t>
  </si>
  <si>
    <t>C1.9</t>
  </si>
  <si>
    <t>C1.10</t>
  </si>
  <si>
    <t>C1.11</t>
  </si>
  <si>
    <t>Jednotková suma v Eur / Sadzba v %</t>
  </si>
  <si>
    <t>Linka: Príloha_10_Model_príjmov.xlsx, hárok Výber_mýta_P4Ba</t>
  </si>
  <si>
    <t>Kľúč</t>
  </si>
  <si>
    <t>Počet mesiacov prevádzky</t>
  </si>
  <si>
    <t>P1</t>
  </si>
  <si>
    <t>M1</t>
  </si>
  <si>
    <t>O1</t>
  </si>
  <si>
    <t>O2</t>
  </si>
  <si>
    <t>Počet mesiacov implementácie v Etape 1 a ukončenia v Etape 3</t>
  </si>
  <si>
    <t>O3</t>
  </si>
  <si>
    <t>Počet mesiacoiv prevádzky v Etape 2</t>
  </si>
  <si>
    <t xml:space="preserve">Počet mesiacov Informačnej kampane </t>
  </si>
  <si>
    <t>Objem úhrad realizovaných Palivovými kartami (objem vr. 20 % DPH)</t>
  </si>
  <si>
    <t>Percento uhradených preddavkov z sumy mýta na rok 2023</t>
  </si>
  <si>
    <t xml:space="preserve">Publikovaná ponuková cena služieb Supervízora v ČR, linka:
https://www.rsd.cz/wps/portal/web/rsd/archiv-aktualit-rsd/!ut/p/a1/lZDLDoIwFES_xS9gsJSWZWljKfjAB4psDCtDoujC-P0W4gaIqLO7yTm5k3EKJ3eKunxW5_JR3ery0tyFf0pMYtxQIuFEMAiPpYJulAvuW-BoAXyIQNcHTOOHiqZaEnC8_RGg4-vlikOkGjHZGmBG-74mMYVYZxzBXrrYsd98qUXksblt7PEpjAojxYKFLeP_-38AfNnv4BQtMtagBcYm7pUcbHC_ZjY5KiMmLzHrg-M!/?1dmy&amp;current=true&amp;urile=wcm%3Apath%3A%2Fportal%2Bsite%2Fz6_000000000000000000000000a0%2Fz6_cgah47l0004820idbhd79m00i6%2Fz6_kiki1bc0k0bcc0a4f504pn0oa4%2Fz6_kiki1bc0k83a70a47pa5rd1086%2Fe125f115-448f-4d36-b1b6-db335b656e0a </t>
  </si>
  <si>
    <t>Riadiace premenné</t>
  </si>
  <si>
    <t>Alternatíva 1 - Komplexné Zákaznícke služby</t>
  </si>
  <si>
    <t>Parametre modelu</t>
  </si>
  <si>
    <t>Komentár, zdroj údajov</t>
  </si>
  <si>
    <t>Výnosy z výberu mýta, alterantíva 1 - Základná, vyvážený scenár</t>
  </si>
  <si>
    <t>Pomocné parametre</t>
  </si>
  <si>
    <t>Kvalifikovaný odhad pri nastavení stropu do 3,0 %</t>
  </si>
  <si>
    <t>Odhad na báze prieskumu trhu</t>
  </si>
  <si>
    <t>Odhad na báze výsledkov PTK</t>
  </si>
  <si>
    <t>Počet mesiacov prevádzky v Etape 1 a Etape 3</t>
  </si>
  <si>
    <t>Spolu</t>
  </si>
  <si>
    <t>Alternatíva 2 - Zákaznícke služby zabezpečované vlastnými silami NDS</t>
  </si>
  <si>
    <t>Dodávka technológií pre 1 DP</t>
  </si>
  <si>
    <t>1 DP</t>
  </si>
  <si>
    <t>Služby prevádzky 1 DP</t>
  </si>
  <si>
    <t>Údržba a opravy technológií DP</t>
  </si>
  <si>
    <t>Likvidácia technológií DP</t>
  </si>
  <si>
    <t>Dodávka technológií pre 1 BDP</t>
  </si>
  <si>
    <t>1 BDP</t>
  </si>
  <si>
    <t>Priestorové zabezpečenie 1 BDP</t>
  </si>
  <si>
    <t>Materiálne zabezpečenie prevádzky BDP</t>
  </si>
  <si>
    <t>Údržba a opravy technológií BDP</t>
  </si>
  <si>
    <t>Likvidácia technológií BDP</t>
  </si>
  <si>
    <t>Dodávka technológií pre 1 CP</t>
  </si>
  <si>
    <t>1 CP</t>
  </si>
  <si>
    <t>Priestorové zabezpečenie 1 CP</t>
  </si>
  <si>
    <t>Materiálne zabezpečenie prevádzky CP</t>
  </si>
  <si>
    <t>Údržba a opravy technológií CP</t>
  </si>
  <si>
    <t>Likvidácia technológií CP</t>
  </si>
  <si>
    <t>Dodávka technológií pre Call-centrum</t>
  </si>
  <si>
    <t>1 súbor</t>
  </si>
  <si>
    <t>Priestorové zabezpečenie pre Call-centrum</t>
  </si>
  <si>
    <t>Materiálne zabezpečenie prevádzky Call-centra</t>
  </si>
  <si>
    <t>Údržba a opravy technológií Call-centra</t>
  </si>
  <si>
    <t>Likvidácia technológií Call-centra</t>
  </si>
  <si>
    <t>Dodávka technológií pre elektronické kanály Zákazníckych služieb</t>
  </si>
  <si>
    <t>Priestorové zabezpečenie pre elektronické kanály Zákazníckych služieb</t>
  </si>
  <si>
    <t>Materiálne zabezpečenie prevádzky elektronických kanálov Zákazníckych služieb</t>
  </si>
  <si>
    <t>Údržba a opravy technológií elektronických kanálov Zákazníckych služieb</t>
  </si>
  <si>
    <t>Likvidácia technológií elektronických kanálov Zákazníckych služieb</t>
  </si>
  <si>
    <t>Služby informačnej kampane</t>
  </si>
  <si>
    <t>Priestorové zabezpečenie pre výkon agendy Riadenia vzťahov so Zákazníkmi</t>
  </si>
  <si>
    <t>Materiálne zabezpečenie pre výkon agendy Riadenia vzťahov so Zákazníkmi</t>
  </si>
  <si>
    <t>Dodávka technológií pre Riadenie vzťahov so Zákazníkmi (CRM)</t>
  </si>
  <si>
    <t>Priestorové zabezpečenie pre technológiu CRM</t>
  </si>
  <si>
    <t>Materiálne zabezpečenie prevádzky technológií CRM</t>
  </si>
  <si>
    <t>Údržba a opravy technológií CRM</t>
  </si>
  <si>
    <t>Likvidácia technológií CRM</t>
  </si>
  <si>
    <t>Integrácia služieb hromadnej tlače</t>
  </si>
  <si>
    <t>Odmena za služby hromadnej tlače, dve zložky: (i) počet hárkov, (ii) obálka + franko</t>
  </si>
  <si>
    <t>1 vytlačený hárok (obojstranne)</t>
  </si>
  <si>
    <t>1 odoslaný list</t>
  </si>
  <si>
    <t>Odmena Poskytovateľov mýtnych služieb</t>
  </si>
  <si>
    <t>Personálne zabezpečenie kontroly Poskytovateľov mýtnych služieb</t>
  </si>
  <si>
    <t>C2.1</t>
  </si>
  <si>
    <t>C2.2</t>
  </si>
  <si>
    <t>C2.3</t>
  </si>
  <si>
    <t>C2.4</t>
  </si>
  <si>
    <t>C2.5</t>
  </si>
  <si>
    <t>C2.6</t>
  </si>
  <si>
    <t>C2.7</t>
  </si>
  <si>
    <t>C2.8</t>
  </si>
  <si>
    <t>C2.9</t>
  </si>
  <si>
    <t>C2.10</t>
  </si>
  <si>
    <t>C2.11</t>
  </si>
  <si>
    <t>C2.12</t>
  </si>
  <si>
    <t>C2.13</t>
  </si>
  <si>
    <t>C2.14</t>
  </si>
  <si>
    <t>C2.15</t>
  </si>
  <si>
    <t>C2.16</t>
  </si>
  <si>
    <t>C2.17</t>
  </si>
  <si>
    <t>C2.18</t>
  </si>
  <si>
    <t>C2.19</t>
  </si>
  <si>
    <t>C2.20</t>
  </si>
  <si>
    <t>C2.21</t>
  </si>
  <si>
    <t>C2.22</t>
  </si>
  <si>
    <t>C2.23</t>
  </si>
  <si>
    <t>C2.24</t>
  </si>
  <si>
    <t>C2.25</t>
  </si>
  <si>
    <t>C2.26</t>
  </si>
  <si>
    <t>C2.27</t>
  </si>
  <si>
    <t>C2.28</t>
  </si>
  <si>
    <t>C2.29</t>
  </si>
  <si>
    <t>C2.30</t>
  </si>
  <si>
    <t>C2.31</t>
  </si>
  <si>
    <t>C2.32</t>
  </si>
  <si>
    <t>C2.33</t>
  </si>
  <si>
    <t>C2.34</t>
  </si>
  <si>
    <t>C2.35</t>
  </si>
  <si>
    <t>C2.36</t>
  </si>
  <si>
    <t>C2.37</t>
  </si>
  <si>
    <t>C2.38</t>
  </si>
  <si>
    <t>C2.39</t>
  </si>
  <si>
    <t>C2.40</t>
  </si>
  <si>
    <t>Dĺžka VÚC na diaľniciach a rýchlostných cestách</t>
  </si>
  <si>
    <t xml:space="preserve">Dĺžka VÚC na cestách I. triedy </t>
  </si>
  <si>
    <t>Počet DP na diaľniciach</t>
  </si>
  <si>
    <t>km/1 DP</t>
  </si>
  <si>
    <t>Počet DP na cestách I. triedy</t>
  </si>
  <si>
    <t>Spolu počet DP</t>
  </si>
  <si>
    <t>Počet BDP</t>
  </si>
  <si>
    <t>Počet CP</t>
  </si>
  <si>
    <t>L5</t>
  </si>
  <si>
    <t>L11</t>
  </si>
  <si>
    <t>M2</t>
  </si>
  <si>
    <t>L2</t>
  </si>
  <si>
    <t>60 m2 plocha + služby (el., data)</t>
  </si>
  <si>
    <t>POS materiály, tlačivá, tonery,papier</t>
  </si>
  <si>
    <t>80 m2 plocha + služby (el., data)</t>
  </si>
  <si>
    <t>120 m2 plocha + služby</t>
  </si>
  <si>
    <t>Spotrebný materiál</t>
  </si>
  <si>
    <t>80 m2 plocha + služby</t>
  </si>
  <si>
    <t>48 m2 plocha + služby</t>
  </si>
  <si>
    <t>Percento úhrady mýta prostredníctvom PK</t>
  </si>
  <si>
    <t>mesačne</t>
  </si>
  <si>
    <t>Počet odoslaných listov (listinná pošta)</t>
  </si>
  <si>
    <t>Počet vytlačených hárkov</t>
  </si>
  <si>
    <t>Príloha 14, 2× špecialista</t>
  </si>
  <si>
    <t>Podiel poskytovateľov mýtnych služieb na výbere mýta</t>
  </si>
  <si>
    <t>Výber mýta Poskytovateľmi mýtnych služieb</t>
  </si>
  <si>
    <t>Linka: Príloha_10_Model_príjmov.xlsx, hárok Dĺžky VÚC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</si>
  <si>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</si>
  <si>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</si>
  <si>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</si>
  <si>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</si>
  <si>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</si>
  <si>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</si>
  <si>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</si>
  <si>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</si>
  <si>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</si>
  <si>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</si>
  <si>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</si>
  <si>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</si>
  <si>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</si>
  <si>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L1</t>
  </si>
  <si>
    <t>L3</t>
  </si>
  <si>
    <t>L4</t>
  </si>
  <si>
    <t>L6</t>
  </si>
  <si>
    <t>L7</t>
  </si>
  <si>
    <t>L8</t>
  </si>
  <si>
    <t>L9</t>
  </si>
  <si>
    <t>L10</t>
  </si>
  <si>
    <t>L12</t>
  </si>
  <si>
    <t>L13</t>
  </si>
  <si>
    <t>L14</t>
  </si>
  <si>
    <t>L15</t>
  </si>
  <si>
    <t>L16</t>
  </si>
  <si>
    <t>L17</t>
  </si>
  <si>
    <t>L18</t>
  </si>
  <si>
    <t>L6×L9</t>
  </si>
  <si>
    <t>L7×L9</t>
  </si>
  <si>
    <t>L8×L9</t>
  </si>
  <si>
    <t>N4</t>
  </si>
  <si>
    <t>Model výdavkov</t>
  </si>
  <si>
    <t>Výber mýta hlavným Poskytovateľom mýtnych služieb</t>
  </si>
  <si>
    <t>C1.12</t>
  </si>
  <si>
    <t>Alternatíva 3 - Komerčné Zákaznícke služby</t>
  </si>
  <si>
    <t>C3.1</t>
  </si>
  <si>
    <t>C3.2</t>
  </si>
  <si>
    <t>M3</t>
  </si>
  <si>
    <t>M4</t>
  </si>
  <si>
    <t>M5</t>
  </si>
  <si>
    <t>1 OBU v aktívnej prevádzke a mesiac</t>
  </si>
  <si>
    <t>Počiatočná dodávka OBU, počet kusov</t>
  </si>
  <si>
    <t>Prevádzka OBU, počet kusov</t>
  </si>
  <si>
    <t>N1</t>
  </si>
  <si>
    <t>N2</t>
  </si>
  <si>
    <t>N3</t>
  </si>
  <si>
    <t>Linka: Príloha_13_Technológie.xlsx, hárok GNSS</t>
  </si>
  <si>
    <t>Odmena za komplexné služby logistiky a prevádzky OBU (GNSS)</t>
  </si>
  <si>
    <t>Linka: Príloha 13, hárok GNSS</t>
  </si>
  <si>
    <t>Zahrnuté v cene Zákazníckych služieb</t>
  </si>
  <si>
    <t>Alternatíva 1 - Komplexné služby logistiky a prevádzky OBU</t>
  </si>
  <si>
    <t>C4.1</t>
  </si>
  <si>
    <t>C4.2</t>
  </si>
  <si>
    <t>C4.3</t>
  </si>
  <si>
    <t>Dodávka technológií pre podporu riadenia logistiky</t>
  </si>
  <si>
    <t>Dodávka OBU</t>
  </si>
  <si>
    <t>1 ks OBU</t>
  </si>
  <si>
    <t>Dodávka spotrebných materiálov k OBU</t>
  </si>
  <si>
    <t>1 set</t>
  </si>
  <si>
    <t>Priestorové zabezpečenie logistiky, 1 stredisko</t>
  </si>
  <si>
    <t>Transportné náklady distribúcie OBU</t>
  </si>
  <si>
    <t>Materiálne zabezpečenie výkonu logistiky</t>
  </si>
  <si>
    <t>Údržba a opravy technológií riadenia logistiky</t>
  </si>
  <si>
    <t>Likvidácia OBU</t>
  </si>
  <si>
    <t>Likvidácia technológií pre podporu riadenia logistiky</t>
  </si>
  <si>
    <t>Dodávka technológií pre zber a spracovanie dát z OBU</t>
  </si>
  <si>
    <t>Priestorové zabezpečenie prevádzky technológií pre zber a spracovanie dát z OBU</t>
  </si>
  <si>
    <t>Materiálne zabezpečenie prevádzky technológií pre zber a spracovanie dát z OBU</t>
  </si>
  <si>
    <t>priemerné mesačné náklady</t>
  </si>
  <si>
    <t>Likvidácia technológií pre zber a spracovanie dát z OBU</t>
  </si>
  <si>
    <t>C5.1</t>
  </si>
  <si>
    <t>C5.2</t>
  </si>
  <si>
    <t>C5.3</t>
  </si>
  <si>
    <t>C5.4</t>
  </si>
  <si>
    <t>C5.5</t>
  </si>
  <si>
    <t>C5.6</t>
  </si>
  <si>
    <t>C5.7</t>
  </si>
  <si>
    <t>C5.8</t>
  </si>
  <si>
    <t>C5.9</t>
  </si>
  <si>
    <t>C5.10</t>
  </si>
  <si>
    <t>C5.11</t>
  </si>
  <si>
    <t>C5.12</t>
  </si>
  <si>
    <t>C5.13</t>
  </si>
  <si>
    <t>C5.14</t>
  </si>
  <si>
    <t>C5.15</t>
  </si>
  <si>
    <t>C5.16</t>
  </si>
  <si>
    <t>500 m2 plocha + služby</t>
  </si>
  <si>
    <t>priemerné mesačné náklady na 1 stredisko, 3 strediská</t>
  </si>
  <si>
    <t>1 ks OBU, návrat 30%</t>
  </si>
  <si>
    <t>N5</t>
  </si>
  <si>
    <t>N6</t>
  </si>
  <si>
    <t>Prevádzka OBU, počet kusov po odrátaní OBE Poskytovateľov mýtnych služieb</t>
  </si>
  <si>
    <t>Alternatíva 2 - OBU zabezpečované vlastnými silami NDS</t>
  </si>
  <si>
    <t>N1×N6</t>
  </si>
  <si>
    <t>Alternatíva 3 - OBU zabezpečované komerčne Poskytovateľmi mýtnych služieb</t>
  </si>
  <si>
    <t>O4</t>
  </si>
  <si>
    <t>O2+O3</t>
  </si>
  <si>
    <t>O3, O4</t>
  </si>
  <si>
    <t>Porovnanie alternatív</t>
  </si>
  <si>
    <t>Model výdavkov - celkové náklady na vlastníctvo</t>
  </si>
  <si>
    <t>Index</t>
  </si>
  <si>
    <t>Investície
[Eur]</t>
  </si>
  <si>
    <t>Prevádzka
[Eur]</t>
  </si>
  <si>
    <t>Alternatíva 1
Komplexné služby</t>
  </si>
  <si>
    <t>Alternatíva 2
Zákaznícke služby zabezpečuje NDS a Dodávateľ</t>
  </si>
  <si>
    <t>Alternatíva 3
Komerčné Zákaznícke služby</t>
  </si>
  <si>
    <t>Alternatíva 1
Komplexné služby Dodávateľa</t>
  </si>
  <si>
    <t>Alternatíva 2
Palubné jednotky vlastní NDS</t>
  </si>
  <si>
    <t>Alternatíva 3
Komerčné OBE Poskytovateľov mýtnych služieb</t>
  </si>
  <si>
    <t>Implementácia procesov Správcu výberu mýta</t>
  </si>
  <si>
    <t>Integrácia Poskytovateľa mýtnych služieb</t>
  </si>
  <si>
    <t>1 Poskytovateľ</t>
  </si>
  <si>
    <t>Služby výkonu agendy Správcu výberu mýta</t>
  </si>
  <si>
    <t>Dodávka technológií pre Správcu výberu mýta</t>
  </si>
  <si>
    <t>Prevádzka, údržba a opravy technológií Správcu výberu mýta</t>
  </si>
  <si>
    <t>Likvidácia technológií Správcu výberu mýta</t>
  </si>
  <si>
    <t>Služby nezávislého Supervízora výberu mýta</t>
  </si>
  <si>
    <t>C7.1</t>
  </si>
  <si>
    <t>C7.2</t>
  </si>
  <si>
    <t>C7.3</t>
  </si>
  <si>
    <t>C7.4</t>
  </si>
  <si>
    <t>C7.5</t>
  </si>
  <si>
    <t>C7.6</t>
  </si>
  <si>
    <t>C7.7</t>
  </si>
  <si>
    <t>C7.8</t>
  </si>
  <si>
    <t xml:space="preserve">Alternatíva 1 - Výkon agendy Správcu výberu mýta zabezpečuje Dodávateľ, infraštruktúru vlastní NDS </t>
  </si>
  <si>
    <t xml:space="preserve">Alternatíva 2 - Výkon agendy Správcu výberu mýta zabezpečuje NDS, infraštruktúru vlastní NDS </t>
  </si>
  <si>
    <t>Dodávka technológií pre Evidenciu a vyrubenie mýta</t>
  </si>
  <si>
    <t>Priestorové zabezpečenie pre technológiu Evidencie a vyrubenia mýta</t>
  </si>
  <si>
    <t>Materiálne zabezpečenie prevádzky technológií Evidencie a vyrubenia mýta</t>
  </si>
  <si>
    <t>Údržba a opravy technológií Evidencie a vyrubenia mýta</t>
  </si>
  <si>
    <t>Likvidácia technológií Evidencie a vyrubenia mýta</t>
  </si>
  <si>
    <t>Vytvorenie digitálnej mapy a počiatočné naplnenie geo-databázy</t>
  </si>
  <si>
    <t>Dodávka technológií pre Správu kontextových dát</t>
  </si>
  <si>
    <t>Priestorové zabezpečenie pre technológiu Správy kontextových dát</t>
  </si>
  <si>
    <t>Materiálne zabezpečenie prevádzky technológií Správy kontextových dát</t>
  </si>
  <si>
    <t>Údržba a opravy technológií Správy kontextových dát</t>
  </si>
  <si>
    <t>Likvidácia technológií Správy kontextových dát</t>
  </si>
  <si>
    <t>Priestorové zabezpečenie pre technológiu pre výkon Podporných činností</t>
  </si>
  <si>
    <t>Materiálne zabezpečenie prevádzky technológií pre výkon Podporných činností</t>
  </si>
  <si>
    <t>Údržba a opravy technológií pre výkon Podporných činností</t>
  </si>
  <si>
    <t>Likvidácia technológií pre výkon Podporných činností</t>
  </si>
  <si>
    <t>C8.1</t>
  </si>
  <si>
    <t>C8.2</t>
  </si>
  <si>
    <t>C8.3</t>
  </si>
  <si>
    <t>C8.4</t>
  </si>
  <si>
    <t>C8.5</t>
  </si>
  <si>
    <t>C8.6</t>
  </si>
  <si>
    <t>C8.7</t>
  </si>
  <si>
    <t>C8.8</t>
  </si>
  <si>
    <t>C8.9</t>
  </si>
  <si>
    <t>C8.10</t>
  </si>
  <si>
    <t>C8.11</t>
  </si>
  <si>
    <t>C8.12</t>
  </si>
  <si>
    <t>C8.13</t>
  </si>
  <si>
    <t>C8.14</t>
  </si>
  <si>
    <t>C8.15</t>
  </si>
  <si>
    <t>C8.16</t>
  </si>
  <si>
    <t>C8.17</t>
  </si>
  <si>
    <t>C8.18</t>
  </si>
  <si>
    <t>C8.19</t>
  </si>
  <si>
    <t>C8.20</t>
  </si>
  <si>
    <t>C8.21</t>
  </si>
  <si>
    <t>C8.22</t>
  </si>
  <si>
    <t>C8.23</t>
  </si>
  <si>
    <t>C8.24</t>
  </si>
  <si>
    <t>Počet Poskytovateľov mýtnych služieb</t>
  </si>
  <si>
    <t>Q1</t>
  </si>
  <si>
    <t>Q2</t>
  </si>
  <si>
    <t>Spotrebný materiál (tonery, papier, kanc. potreby)</t>
  </si>
  <si>
    <t>Spotrebný materiál (datové médiá, drobný mat.)</t>
  </si>
  <si>
    <t>Q3</t>
  </si>
  <si>
    <t>Počet Mýtnych úsekov</t>
  </si>
  <si>
    <t>Q4</t>
  </si>
  <si>
    <t>Spotrebný materiál, PHM</t>
  </si>
  <si>
    <t>20 m2 plocha + služby</t>
  </si>
  <si>
    <t xml:space="preserve">Spotrebný materiál </t>
  </si>
  <si>
    <t>Dodávka technológií pre výkon Podporných činností (DWH, DMS, účto, kanc.apl.)</t>
  </si>
  <si>
    <t>V plánu výdavkov na Zákaznícke služby</t>
  </si>
  <si>
    <t>Implementácia procesov Správcu výberu mýta, čiastkové plnenie príprava digitálnej mapy</t>
  </si>
  <si>
    <t>R1</t>
  </si>
  <si>
    <t>R2</t>
  </si>
  <si>
    <t>R3</t>
  </si>
  <si>
    <t>R4</t>
  </si>
  <si>
    <t>Alternatíva 2
Dodávka a prevádzka NDS</t>
  </si>
  <si>
    <t>Alternatíva 1
Dodávka a služby Dodávateľa</t>
  </si>
  <si>
    <t>Zákaznícke služby</t>
  </si>
  <si>
    <t>Palubné jednotky</t>
  </si>
  <si>
    <t>Výkon agendy Správcu výberu mýta</t>
  </si>
  <si>
    <t>Alternatíva 1</t>
  </si>
  <si>
    <t>Alternatíva 2</t>
  </si>
  <si>
    <t>Alternatíva 3-1</t>
  </si>
  <si>
    <t>Alternatíva 3-2</t>
  </si>
  <si>
    <t>Odhadované výnosy z výberu mýta za roky 2023 - 2032, základný rozsah spoplatnenia</t>
  </si>
  <si>
    <t>Investičné a prevádzkové výdavky</t>
  </si>
  <si>
    <t>Alternatíva 1 - Investície</t>
  </si>
  <si>
    <t>Alternatíva 1 - Prevádzka</t>
  </si>
  <si>
    <t>Alternatíva 2 - Investície</t>
  </si>
  <si>
    <t>Alternatíva 2 - Prevádzka</t>
  </si>
  <si>
    <t>Alternatíva 3-1 - Investície</t>
  </si>
  <si>
    <t>Alternatíva 3-1 - Prevádzka</t>
  </si>
  <si>
    <t>Alternatíva 3-2 - Investície</t>
  </si>
  <si>
    <t>Alternatíva 3-2 - Prevádzka</t>
  </si>
  <si>
    <t>Investície</t>
  </si>
  <si>
    <t>Prevádzka</t>
  </si>
  <si>
    <t>Technológia a zariadenia</t>
  </si>
  <si>
    <t>Dozor</t>
  </si>
  <si>
    <t>Iné služby</t>
  </si>
  <si>
    <t>01 Investičné náklady</t>
  </si>
  <si>
    <t>Zhrnutie vstupných údajov pre CBA analýzu</t>
  </si>
  <si>
    <t>Hárok 01 CBA - Investičné náklady</t>
  </si>
  <si>
    <t>Celkové investičné náklady bez rezervy na nepredvídané výdavky</t>
  </si>
  <si>
    <t>Variant 1</t>
  </si>
  <si>
    <t>Kategória rizík</t>
  </si>
  <si>
    <t>Etapa Projektu</t>
  </si>
  <si>
    <t>Rozpočtová rezerva [Eur]</t>
  </si>
  <si>
    <t>Riziká z fázy verejnej súťaže</t>
  </si>
  <si>
    <t>verejná súťaž</t>
  </si>
  <si>
    <t>Dodávateľské riziká vo fáze dodávky a implementácie</t>
  </si>
  <si>
    <t>Etapa 1</t>
  </si>
  <si>
    <t>Prevádzkové riziká</t>
  </si>
  <si>
    <t>Etapa 2</t>
  </si>
  <si>
    <t>Spolu rozpočtová rezerva Projektu</t>
  </si>
  <si>
    <t>Tab. 153 – Sumarizácia rozpočtovej rezervy</t>
  </si>
  <si>
    <t>Rezerva na nepredvídané výdavky</t>
  </si>
  <si>
    <t>Výdavky na elektronický výber mýta</t>
  </si>
  <si>
    <t>Hárok 03 CBA - Prevádzkové výdavky náklady</t>
  </si>
  <si>
    <t>údaje v Eur bez DPH </t>
  </si>
  <si>
    <t>Prevádzka: Zákaznícke služby</t>
  </si>
  <si>
    <t>Prevádzka: Palubné jednotky</t>
  </si>
  <si>
    <t>Prevádzka: Elektronický mýtny systém a agenda Správcu výberu mýta</t>
  </si>
  <si>
    <t>Rozpočtová rezerva na pokrytie rizík</t>
  </si>
  <si>
    <t>Spolu výdavky Projektu</t>
  </si>
  <si>
    <t>Porovnanie TCO alternatív</t>
  </si>
  <si>
    <t>Tab. 98 - Výdavkové položky pre kombinovanú alternatívu Zákazníckych služieb</t>
  </si>
  <si>
    <t>Tab. 130 - Vyhodnotenie alternatív zabezpečenia Palubných jednotiek</t>
  </si>
  <si>
    <t>Tab. 142 - Výdavkové položky na zabezpečenie výkonu agendy Správcu výberu mýta v alternatíve 2</t>
  </si>
  <si>
    <t>Tab. 143 - Model výdavkov pre výkon agendy Správcu výberu mýta silami NDS v alternatíve 2</t>
  </si>
  <si>
    <t>Tab. 145 - Vyhodnotenie alternatív zabezpečenia agendy Správcu výberu mýta</t>
  </si>
  <si>
    <t>Celkové výdavky Projektu za Etapu 1, 2 a 3</t>
  </si>
  <si>
    <t>Spolu diskontované výdaky</t>
  </si>
  <si>
    <t>Diskontná sadzba</t>
  </si>
  <si>
    <t>Spolu výdavky</t>
  </si>
  <si>
    <t>Celkové výdavky, diskontované
[Eur]</t>
  </si>
  <si>
    <t>Investície, diskontované
[Eur]</t>
  </si>
  <si>
    <t>Prevádzkové výdavky, diskontované
[Eur]</t>
  </si>
  <si>
    <t>Výnosy, diskontované, diskontná sadzba 4,0 %
[Eur]</t>
  </si>
  <si>
    <t>Výdavky (TCO), diskontované, diskontná sadzba 4,0 %
[Eur]</t>
  </si>
  <si>
    <t>Nákladová výnosnosť za 10 rokov Projektu  (diskontované výdavky a výnosy)</t>
  </si>
  <si>
    <t>Diaľničné priechody 2× BDP</t>
  </si>
  <si>
    <t>Odmena za prevádzkovú pripravenosť 1 DP</t>
  </si>
  <si>
    <t>Odmena za prevádzkovú pripravenosť 1 BDP</t>
  </si>
  <si>
    <t>Odmena za prevádzkovú pripravenosť 1 CP</t>
  </si>
  <si>
    <t>Počet mesiacoiv prevádzky DP, CP, BDP</t>
  </si>
  <si>
    <t>K14</t>
  </si>
  <si>
    <t>K15</t>
  </si>
  <si>
    <t>K16</t>
  </si>
  <si>
    <t>K17</t>
  </si>
  <si>
    <t>C1.13</t>
  </si>
  <si>
    <t>C1.14</t>
  </si>
  <si>
    <t>C1.15</t>
  </si>
  <si>
    <t>K4×K9</t>
  </si>
  <si>
    <t>K5×K9</t>
  </si>
  <si>
    <t>K6×K9</t>
  </si>
  <si>
    <t>K4×K10</t>
  </si>
  <si>
    <t>K5×K10</t>
  </si>
  <si>
    <t>K6×K10</t>
  </si>
  <si>
    <t>Objem úhrad realizovaných Palivovými kartami vrátane 20 % DPH (t.j. ×1,2)</t>
  </si>
  <si>
    <t>Pribežné dodávky OBU (obnova), počet kusov</t>
  </si>
  <si>
    <t>O5</t>
  </si>
  <si>
    <t>O6</t>
  </si>
  <si>
    <t>C6.1</t>
  </si>
  <si>
    <t>C6.2</t>
  </si>
  <si>
    <t>Tab. 87 - Výdavkové položky pre komplexnú alternatívu Zákazníckych služieb</t>
  </si>
  <si>
    <t>Tab. 88 - Model výdavkov pre komplexné Zákaznícke služby v alternatíve 1</t>
  </si>
  <si>
    <t>Tab. 96 - Model výdavkov pre kombinované Zákaznícke služby zabezpečované NDS a Dodávateľom v alternatíve 2</t>
  </si>
  <si>
    <t>Tab. 103 - Model výdavkov pre Zákaznícke služby zabezpečované Komerčnými Poskytovateľmi mýtnych služieb v alternatíve 3</t>
  </si>
  <si>
    <t>Tab. 102 - Výdavkové položky pre komerčnú alternatívu Zákazníckych služieb</t>
  </si>
  <si>
    <t>C3.3</t>
  </si>
  <si>
    <t>C3.4</t>
  </si>
  <si>
    <t>C3.5</t>
  </si>
  <si>
    <t>Tab. 110 - Výdavkové položky pre komplexné služby logistiky a prevádzky Palubných jednotiek</t>
  </si>
  <si>
    <t>Tab. 111 - Model výdavkov pre komplexné služby logistiky a prevádzky Palubných jednotiek v alternatíve 1</t>
  </si>
  <si>
    <t>Tab. 117 - Výdavkové položky pre služby logistiky a prevádzky Palubných jednotiek zabezpečované NDS</t>
  </si>
  <si>
    <t>Tab. 118 - Model výdavkov pre Palubné jednotky zabezpečované NDS v alternatíve 2</t>
  </si>
  <si>
    <t>Tab. 124 - Výdavkové položky pre alternatívu vybavenia vozidiel Palubnými jednotkami od Poskytovateľov mýtnych služieb</t>
  </si>
  <si>
    <t>Tab. 125 - Model výdavkov pre zabezpečenie Palubných jednotiek komerčnými Poskytovateľmi mýtnych služieb v alternatíve 3</t>
  </si>
  <si>
    <t>Tab. 132 - Výdavkové položky na zabezpečenie výkonu agendy Správcu výberu mýta v alternatíve 2</t>
  </si>
  <si>
    <t>Tab. 133 - Model výdavkov pre dodávku infraštruktúry a výkon agendy Správcu výberu mýta Dodávateľom v alternatíve 1</t>
  </si>
  <si>
    <t>Tab. 143 - Súhrnné porovnanie alternatív navrhovaného riešenia</t>
  </si>
  <si>
    <t>Tab. 144 - Porovnanie výnosov alternatív rozsahu spoplatnenia</t>
  </si>
  <si>
    <t>Počet stredísk logistiky</t>
  </si>
  <si>
    <t>O7</t>
  </si>
  <si>
    <t>O1,O7</t>
  </si>
  <si>
    <t>priemerné mesačné náklady na 1 stredisko</t>
  </si>
  <si>
    <t>Kontrola a projektový management, vykonávaný pracovníkmi NDS, personálne náklady</t>
  </si>
  <si>
    <t xml:space="preserve"> mesačné osobné náklady</t>
  </si>
  <si>
    <t>Personálne náklady prac. NDS, valorizácia p.a.</t>
  </si>
  <si>
    <t>Linka:Príloha 14, hárok Zákaznícke služby (alt.1)</t>
  </si>
  <si>
    <t>Počet mesiacov implementácie v Etape 1, prevádzky v Etape 2 a ukončenia v Etape 3</t>
  </si>
  <si>
    <t>K12×K13</t>
  </si>
  <si>
    <t>Linka:Príloha 14, hárok Zákaznícke služby (alt.2)</t>
  </si>
  <si>
    <t>Personálne zabezpečenie Zákazníckych služieb (vr. zaškolenia personálu)</t>
  </si>
  <si>
    <t>L12×L13</t>
  </si>
  <si>
    <t>M3,M4×M5</t>
  </si>
  <si>
    <t>Q5</t>
  </si>
  <si>
    <t>Q1,Q3×Q5</t>
  </si>
  <si>
    <t>Linka: Príloha_21_Ocenenie_implementácie.xlsx, hárok Final UCPA</t>
  </si>
  <si>
    <t>Linka:Príloha 14, hárok Agenda SVM (alt.2)</t>
  </si>
  <si>
    <t>Linka:Príloha 14, hárok Agenda SVM (alt.1)</t>
  </si>
  <si>
    <t>Linka:Príloha 14, hárok Zákaznícke služby (alt.3)</t>
  </si>
  <si>
    <t>Implementácia procesov Zákazníckych služieb</t>
  </si>
  <si>
    <t>Linka:Príloha 14, hárok Palubné jednotky (alt.2)</t>
  </si>
  <si>
    <t>O8</t>
  </si>
  <si>
    <t xml:space="preserve">Personálne zabezpečenie výkonu logistiky, 1 stredisko </t>
  </si>
  <si>
    <t>Personálne zabezpečenie spracovania dát z OBU a riadenia logistiky</t>
  </si>
  <si>
    <t>Implementácia procesov spracovania dát z OBU a riadenia logistiky</t>
  </si>
  <si>
    <t>O1×O8</t>
  </si>
  <si>
    <t>Linka:Príloha 14, hárok Palubné jednotky (alt.3)</t>
  </si>
  <si>
    <t>P2</t>
  </si>
  <si>
    <t>N7</t>
  </si>
  <si>
    <t>N1×N7</t>
  </si>
  <si>
    <t>Personálne zabezpečenie prevádzky BDP</t>
  </si>
  <si>
    <t>Personálne zabezpečenie call-centra (vr. zaškolenia personálu)</t>
  </si>
  <si>
    <t>Celkové výdavky, diskontované 4%
[Eur]</t>
  </si>
  <si>
    <t>Alternatíva 3</t>
  </si>
  <si>
    <t>Alternatíva 4</t>
  </si>
  <si>
    <t>Priemerné ročné výdavky, 5-ročné prevádzkovanie</t>
  </si>
  <si>
    <t>Eur/rok</t>
  </si>
  <si>
    <t>Variant 2 - Rozšírený rozsah spoplatnenia</t>
  </si>
  <si>
    <t>Tab. 154 - Náklady, Variant 2 – Rozšírený rozsah VÚC</t>
  </si>
  <si>
    <t>640 m2 plocha + služby</t>
  </si>
  <si>
    <t>Technický rozvoj IS/IT agendy Správcu výberu mýta</t>
  </si>
  <si>
    <t>12% z nákladov na implementáciu p.a.</t>
  </si>
  <si>
    <t>Priestorové zabezpečenie pre výkon agendy Správcu výberu mýta</t>
  </si>
  <si>
    <t>Personálne zabezpečenie výkonu agendy Správcu výberu mýta</t>
  </si>
  <si>
    <t>Materiálne zabezpečenie pre výkon čiastkovej agendy Evidencie a vyrubenia mýta</t>
  </si>
  <si>
    <t>Implementácia procesov agendy Správcu výberu mýta</t>
  </si>
  <si>
    <t>Materiálne zabezpečenie pre výkon čiastkovej agendy Správy kontextových dát</t>
  </si>
  <si>
    <t>Materiálne zabezpečenie pre výkon čiastkovej agendy Podporných činností</t>
  </si>
  <si>
    <t>Technický rozvoj IS/IT Zákazníckych služieb</t>
  </si>
  <si>
    <t>C2.41</t>
  </si>
  <si>
    <t>Technický rozvoj IS/IT spracovania dát OBU a logistiky</t>
  </si>
  <si>
    <t>C5.17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</si>
</sst>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22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6"/>
      <color theme="1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sz val="6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9"/>
      <color rgb="FF00B0F0"/>
      <name val="Arial Narrow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i/>
      <sz val="10"/>
      <color theme="1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i/>
      <sz val="9"/>
      <color rgb="FF44546A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10"/>
      <color rgb="FF0061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medium">
        <color theme="4" tint="0.39997558519241921"/>
      </top>
      <bottom style="thin">
        <color indexed="64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rgb="FF7F7F7F"/>
      </top>
      <bottom style="thin">
        <color rgb="FF7F7F7F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1" fillId="8" borderId="0" applyNumberFormat="0" applyBorder="0" applyAlignment="0" applyProtection="0"/>
  </cellStyleXfs>
  <cellXfs count="86">
    <xf numFmtId="0" fontId="0" fillId="0" borderId="0" xfId="0"/>
    <xf numFmtId="0" fontId="4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3" fontId="4" fillId="0" borderId="3" xfId="0" applyNumberFormat="1" applyFont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10" fontId="4" fillId="3" borderId="3" xfId="0" applyNumberFormat="1" applyFont="1" applyFill="1" applyBorder="1" applyAlignment="1">
      <alignment vertical="center" wrapText="1"/>
    </xf>
    <xf numFmtId="0" fontId="8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4" fillId="3" borderId="3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/>
    </xf>
    <xf numFmtId="9" fontId="4" fillId="3" borderId="3" xfId="0" applyNumberFormat="1" applyFont="1" applyFill="1" applyBorder="1" applyAlignment="1">
      <alignment vertical="center"/>
    </xf>
    <xf numFmtId="2" fontId="4" fillId="3" borderId="3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2" xfId="3" applyAlignment="1">
      <alignment horizontal="left" vertical="center"/>
    </xf>
    <xf numFmtId="0" fontId="3" fillId="0" borderId="2" xfId="3"/>
    <xf numFmtId="3" fontId="9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4" fillId="0" borderId="3" xfId="0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vertical="center"/>
    </xf>
    <xf numFmtId="10" fontId="4" fillId="3" borderId="3" xfId="1" applyNumberFormat="1" applyFont="1" applyFill="1" applyBorder="1" applyAlignment="1">
      <alignment vertical="center" wrapText="1"/>
    </xf>
    <xf numFmtId="9" fontId="4" fillId="0" borderId="3" xfId="1" applyFont="1" applyBorder="1" applyAlignment="1">
      <alignment vertical="center" wrapText="1"/>
    </xf>
    <xf numFmtId="9" fontId="4" fillId="0" borderId="3" xfId="1" applyNumberFormat="1" applyFont="1" applyBorder="1" applyAlignment="1">
      <alignment vertical="center" wrapText="1"/>
    </xf>
    <xf numFmtId="0" fontId="4" fillId="2" borderId="3" xfId="0" applyFont="1" applyFill="1" applyBorder="1" applyAlignment="1">
      <alignment horizontal="right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0" fillId="3" borderId="3" xfId="0" applyFont="1" applyFill="1" applyBorder="1" applyAlignment="1">
      <alignment vertical="center" wrapText="1"/>
    </xf>
    <xf numFmtId="0" fontId="4" fillId="3" borderId="7" xfId="0" applyFont="1" applyFill="1" applyBorder="1"/>
    <xf numFmtId="3" fontId="4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3" fontId="9" fillId="0" borderId="7" xfId="0" applyNumberFormat="1" applyFont="1" applyBorder="1" applyAlignment="1">
      <alignment vertical="center"/>
    </xf>
    <xf numFmtId="3" fontId="4" fillId="3" borderId="7" xfId="0" applyNumberFormat="1" applyFont="1" applyFill="1" applyBorder="1" applyAlignment="1">
      <alignment vertical="center" wrapText="1"/>
    </xf>
    <xf numFmtId="165" fontId="4" fillId="0" borderId="7" xfId="1" applyNumberFormat="1" applyFont="1" applyBorder="1" applyAlignment="1">
      <alignment vertical="center"/>
    </xf>
    <xf numFmtId="3" fontId="11" fillId="4" borderId="8" xfId="0" applyNumberFormat="1" applyFont="1" applyFill="1" applyBorder="1"/>
    <xf numFmtId="0" fontId="12" fillId="0" borderId="8" xfId="0" applyFont="1" applyBorder="1" applyAlignment="1">
      <alignment wrapText="1"/>
    </xf>
    <xf numFmtId="0" fontId="2" fillId="0" borderId="1" xfId="2"/>
    <xf numFmtId="0" fontId="3" fillId="0" borderId="0" xfId="4"/>
    <xf numFmtId="0" fontId="15" fillId="0" borderId="0" xfId="0" applyFont="1"/>
    <xf numFmtId="165" fontId="0" fillId="0" borderId="0" xfId="1" applyNumberFormat="1" applyFont="1"/>
    <xf numFmtId="0" fontId="18" fillId="0" borderId="0" xfId="0" applyFont="1" applyAlignment="1">
      <alignment horizontal="justify" vertical="center"/>
    </xf>
    <xf numFmtId="0" fontId="16" fillId="5" borderId="3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3" fontId="16" fillId="0" borderId="3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3" fontId="16" fillId="6" borderId="3" xfId="0" applyNumberFormat="1" applyFont="1" applyFill="1" applyBorder="1" applyAlignment="1">
      <alignment horizontal="right" vertical="center"/>
    </xf>
    <xf numFmtId="0" fontId="16" fillId="5" borderId="3" xfId="0" applyFont="1" applyFill="1" applyBorder="1" applyAlignment="1">
      <alignment horizontal="left" vertical="center" wrapText="1"/>
    </xf>
    <xf numFmtId="3" fontId="16" fillId="5" borderId="3" xfId="0" applyNumberFormat="1" applyFont="1" applyFill="1" applyBorder="1" applyAlignment="1">
      <alignment horizontal="right" vertical="center"/>
    </xf>
    <xf numFmtId="3" fontId="11" fillId="2" borderId="8" xfId="0" applyNumberFormat="1" applyFont="1" applyFill="1" applyBorder="1"/>
    <xf numFmtId="0" fontId="11" fillId="2" borderId="8" xfId="0" applyFont="1" applyFill="1" applyBorder="1"/>
    <xf numFmtId="0" fontId="19" fillId="0" borderId="9" xfId="5"/>
    <xf numFmtId="3" fontId="4" fillId="7" borderId="0" xfId="0" applyNumberFormat="1" applyFont="1" applyFill="1" applyBorder="1" applyAlignment="1">
      <alignment vertical="center" wrapText="1"/>
    </xf>
    <xf numFmtId="9" fontId="4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3" fontId="13" fillId="0" borderId="11" xfId="0" applyNumberFormat="1" applyFont="1" applyBorder="1" applyAlignment="1">
      <alignment vertical="center" wrapText="1"/>
    </xf>
    <xf numFmtId="0" fontId="14" fillId="2" borderId="11" xfId="0" applyFont="1" applyFill="1" applyBorder="1" applyAlignment="1">
      <alignment vertical="center" wrapText="1"/>
    </xf>
    <xf numFmtId="0" fontId="14" fillId="2" borderId="11" xfId="0" applyFont="1" applyFill="1" applyBorder="1" applyAlignment="1">
      <alignment horizontal="center" vertical="center" wrapText="1"/>
    </xf>
    <xf numFmtId="3" fontId="20" fillId="2" borderId="12" xfId="0" applyNumberFormat="1" applyFont="1" applyFill="1" applyBorder="1"/>
    <xf numFmtId="0" fontId="4" fillId="2" borderId="5" xfId="0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vertical="center" wrapText="1"/>
    </xf>
    <xf numFmtId="165" fontId="4" fillId="3" borderId="3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3" fontId="21" fillId="8" borderId="0" xfId="6" applyNumberFormat="1"/>
    <xf numFmtId="3" fontId="11" fillId="9" borderId="8" xfId="0" applyNumberFormat="1" applyFont="1" applyFill="1" applyBorder="1"/>
    <xf numFmtId="0" fontId="17" fillId="3" borderId="3" xfId="0" applyFont="1" applyFill="1" applyBorder="1" applyAlignment="1">
      <alignment horizontal="center" vertical="center"/>
    </xf>
    <xf numFmtId="3" fontId="16" fillId="3" borderId="3" xfId="0" applyNumberFormat="1" applyFont="1" applyFill="1" applyBorder="1" applyAlignment="1">
      <alignment horizontal="right" vertical="center"/>
    </xf>
    <xf numFmtId="0" fontId="18" fillId="0" borderId="6" xfId="0" applyFont="1" applyBorder="1" applyAlignment="1">
      <alignment horizontal="left" vertical="center" wrapText="1"/>
    </xf>
    <xf numFmtId="0" fontId="2" fillId="0" borderId="1" xfId="2" applyAlignment="1">
      <alignment horizontal="left" vertical="center" wrapText="1"/>
    </xf>
    <xf numFmtId="0" fontId="3" fillId="0" borderId="2" xfId="3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/>
    </xf>
  </cellXfs>
  <cellStyles count="7">
    <cellStyle name="Good" xfId="6" builtinId="26"/>
    <cellStyle name="Heading 1" xfId="5" builtinId="16"/>
    <cellStyle name="Heading 2" xfId="2" builtinId="17"/>
    <cellStyle name="Heading 3" xfId="3" builtinId="18"/>
    <cellStyle name="Heading 4" xfId="4" builtinId="19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Zákaznícke služby</a:t>
            </a:r>
          </a:p>
          <a:p>
            <a:pPr>
              <a:defRPr sz="1200"/>
            </a:pPr>
            <a:r>
              <a:rPr lang="cs-CZ" sz="1200"/>
              <a:t>Náklady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'Zákaznícke služby'!$C$157</c:f>
              <c:strCache>
                <c:ptCount val="1"/>
                <c:pt idx="0">
                  <c:v>Alternatíva 1
Komplexné služby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'Zákaznícke služby'!$H$141:$S$141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'Zákaznícke služby'!$H$45:$S$45</c:f>
              <c:numCache>
                <c:formatCode>#,##0</c:formatCode>
                <c:ptCount val="12"/>
                <c:pt idx="0">
                  <c:v>2462066.951450571</c:v>
                </c:pt>
                <c:pt idx="1">
                  <c:v>16530369.299830595</c:v>
                </c:pt>
                <c:pt idx="2">
                  <c:v>16147921.779729748</c:v>
                </c:pt>
                <c:pt idx="3">
                  <c:v>15779498.243850416</c:v>
                </c:pt>
                <c:pt idx="4">
                  <c:v>15484674.214665202</c:v>
                </c:pt>
                <c:pt idx="5">
                  <c:v>15096856.416752586</c:v>
                </c:pt>
                <c:pt idx="6">
                  <c:v>14731553.002642032</c:v>
                </c:pt>
                <c:pt idx="7">
                  <c:v>14421864.008843485</c:v>
                </c:pt>
                <c:pt idx="8">
                  <c:v>14027311.681958741</c:v>
                </c:pt>
                <c:pt idx="9">
                  <c:v>13638218.205754844</c:v>
                </c:pt>
                <c:pt idx="10">
                  <c:v>13193492.829520645</c:v>
                </c:pt>
                <c:pt idx="11">
                  <c:v>768937.21115202317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C8-471A-9B1B-CE466A0AA195}"/>
            </c:ext>
          </c:extLst>
        </c:ser>
        <c:ser>
          <c:idx val="1"/>
          <c:order val="1"/>
          <c:tx>
            <c:strRef>
              <c:f>'Zákaznícke služby'!$C$158</c:f>
              <c:strCache>
                <c:ptCount val="1"/>
                <c:pt idx="0">
                  <c:v>Alternatíva 2
Zákaznícke služby zabezpečuje NDS a Dodávateľ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numRef>
              <c:f>'Zákaznícke služby'!$H$141:$S$141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'Zákaznícke služby'!$H$124:$S$124</c:f>
              <c:numCache>
                <c:formatCode>#,##0</c:formatCode>
                <c:ptCount val="12"/>
                <c:pt idx="0">
                  <c:v>6179454.6791789941</c:v>
                </c:pt>
                <c:pt idx="1">
                  <c:v>15160194.768730255</c:v>
                </c:pt>
                <c:pt idx="2">
                  <c:v>15291957.053159788</c:v>
                </c:pt>
                <c:pt idx="3">
                  <c:v>15869286.195355</c:v>
                </c:pt>
                <c:pt idx="4">
                  <c:v>16472546.372482801</c:v>
                </c:pt>
                <c:pt idx="5">
                  <c:v>16965717.217077371</c:v>
                </c:pt>
                <c:pt idx="6">
                  <c:v>17451509.11987453</c:v>
                </c:pt>
                <c:pt idx="7">
                  <c:v>17507473.331056908</c:v>
                </c:pt>
                <c:pt idx="8">
                  <c:v>17489967.531357333</c:v>
                </c:pt>
                <c:pt idx="9">
                  <c:v>17269416.279418975</c:v>
                </c:pt>
                <c:pt idx="10">
                  <c:v>16831260.309916813</c:v>
                </c:pt>
                <c:pt idx="11">
                  <c:v>2431410.05296415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C8-471A-9B1B-CE466A0AA195}"/>
            </c:ext>
          </c:extLst>
        </c:ser>
        <c:ser>
          <c:idx val="2"/>
          <c:order val="2"/>
          <c:tx>
            <c:strRef>
              <c:f>'Zákaznícke služby'!$C$159</c:f>
              <c:strCache>
                <c:ptCount val="1"/>
                <c:pt idx="0">
                  <c:v>Alternatíva 3
Komerčné Zákaznícke služby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numRef>
              <c:f>'Zákaznícke služby'!$H$141:$S$141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'Zákaznícke služby'!$H$148:$S$148</c:f>
              <c:numCache>
                <c:formatCode>#,##0</c:formatCode>
                <c:ptCount val="12"/>
                <c:pt idx="0">
                  <c:v>321918.48594674555</c:v>
                </c:pt>
                <c:pt idx="1">
                  <c:v>15831084.764100058</c:v>
                </c:pt>
                <c:pt idx="2">
                  <c:v>15372956.300142199</c:v>
                </c:pt>
                <c:pt idx="3">
                  <c:v>15034339.128862388</c:v>
                </c:pt>
                <c:pt idx="4">
                  <c:v>14756225.510009212</c:v>
                </c:pt>
                <c:pt idx="5">
                  <c:v>14396424.969967984</c:v>
                </c:pt>
                <c:pt idx="6">
                  <c:v>14050695.869621184</c:v>
                </c:pt>
                <c:pt idx="7">
                  <c:v>13767193.68863113</c:v>
                </c:pt>
                <c:pt idx="8">
                  <c:v>13397820.989446862</c:v>
                </c:pt>
                <c:pt idx="9">
                  <c:v>13026390.917934032</c:v>
                </c:pt>
                <c:pt idx="10">
                  <c:v>12605197.360462176</c:v>
                </c:pt>
                <c:pt idx="11">
                  <c:v>112462.59622475457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C8-471A-9B1B-CE466A0AA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25027424"/>
        <c:axId val="725027752"/>
      </c:barChart>
      <c:catAx>
        <c:axId val="72502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752"/>
        <c:crosses val="autoZero"/>
        <c:auto val="1"/>
        <c:lblAlgn val="ctr"/>
        <c:lblOffset val="100"/>
        <c:noMultiLvlLbl val="0"/>
      </c:catAx>
      <c:valAx>
        <c:axId val="72502775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424"/>
        <c:crosses val="autoZero"/>
        <c:crossBetween val="between"/>
        <c:majorUnit val="5000000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Elektronický</a:t>
            </a:r>
            <a:r>
              <a:rPr lang="cs-CZ" sz="1200" baseline="0"/>
              <a:t> výber mýta - TCO</a:t>
            </a:r>
          </a:p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aseline="0"/>
              <a:t>10 rokov prevádzky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Vyhodnotenie!$D$55</c:f>
              <c:strCache>
                <c:ptCount val="1"/>
                <c:pt idx="0">
                  <c:v>Investície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Vyhodnotenie!$E$54:$H$54</c:f>
              <c:strCache>
                <c:ptCount val="4"/>
                <c:pt idx="0">
                  <c:v>Alternatíva 1</c:v>
                </c:pt>
                <c:pt idx="1">
                  <c:v>Alternatíva 2</c:v>
                </c:pt>
                <c:pt idx="2">
                  <c:v>Alternatíva 3-1</c:v>
                </c:pt>
                <c:pt idx="3">
                  <c:v>Alternatíva 3-2</c:v>
                </c:pt>
              </c:strCache>
            </c:strRef>
          </c:cat>
          <c:val>
            <c:numRef>
              <c:f>Vyhodnotenie!$E$55:$H$55</c:f>
              <c:numCache>
                <c:formatCode>#,##0</c:formatCode>
                <c:ptCount val="4"/>
                <c:pt idx="0">
                  <c:v>15702626.831119576</c:v>
                </c:pt>
                <c:pt idx="1">
                  <c:v>56028475.203910872</c:v>
                </c:pt>
                <c:pt idx="2">
                  <c:v>11518863.221384982</c:v>
                </c:pt>
                <c:pt idx="3">
                  <c:v>14321784.690319894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CAF-434D-9737-427A3BB29C03}"/>
            </c:ext>
          </c:extLst>
        </c:ser>
        <c:ser>
          <c:idx val="1"/>
          <c:order val="1"/>
          <c:tx>
            <c:strRef>
              <c:f>Vyhodnotenie!$D$56</c:f>
              <c:strCache>
                <c:ptCount val="1"/>
                <c:pt idx="0">
                  <c:v>Prevádzka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Vyhodnotenie!$E$54:$H$54</c:f>
              <c:strCache>
                <c:ptCount val="4"/>
                <c:pt idx="0">
                  <c:v>Alternatíva 1</c:v>
                </c:pt>
                <c:pt idx="1">
                  <c:v>Alternatíva 2</c:v>
                </c:pt>
                <c:pt idx="2">
                  <c:v>Alternatíva 3-1</c:v>
                </c:pt>
                <c:pt idx="3">
                  <c:v>Alternatíva 3-2</c:v>
                </c:pt>
              </c:strCache>
            </c:strRef>
          </c:cat>
          <c:val>
            <c:numRef>
              <c:f>Vyhodnotenie!$E$56:$H$56</c:f>
              <c:numCache>
                <c:formatCode>#,##0</c:formatCode>
                <c:ptCount val="4"/>
                <c:pt idx="0">
                  <c:v>238694716.69750232</c:v>
                </c:pt>
                <c:pt idx="1">
                  <c:v>227189025.82711798</c:v>
                </c:pt>
                <c:pt idx="2">
                  <c:v>190104360.19662464</c:v>
                </c:pt>
                <c:pt idx="3">
                  <c:v>175477250.601574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CAF-434D-9737-427A3BB29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100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dispUnits>
          <c:builtInUnit val="millions"/>
          <c:dispUnitsLbl>
            <c:layout/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Zákaznícke</a:t>
            </a:r>
            <a:r>
              <a:rPr lang="cs-CZ" sz="1200" baseline="0"/>
              <a:t> služby - TCO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CE8B-4463-A26C-FBB9400BF69F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CE8B-4463-A26C-FBB9400BF69F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CE8B-4463-A26C-FBB9400BF69F}"/>
              </c:ext>
            </c:extLst>
          </c:dPt>
          <c:cat>
            <c:strRef>
              <c:f>'Zákaznícke služby'!$C$157:$C$159</c:f>
              <c:strCache>
                <c:ptCount val="3"/>
                <c:pt idx="0">
                  <c:v>Alternatíva 1
Komplexné služby</c:v>
                </c:pt>
                <c:pt idx="1">
                  <c:v>Alternatíva 2
Zákaznícke služby zabezpečuje NDS a Dodávateľ</c:v>
                </c:pt>
                <c:pt idx="2">
                  <c:v>Alternatíva 3
Komerčné Zákaznícke služby</c:v>
                </c:pt>
              </c:strCache>
            </c:strRef>
          </c:cat>
          <c:val>
            <c:numRef>
              <c:f>'Zákaznícke služby'!$D$157:$D$159</c:f>
              <c:numCache>
                <c:formatCode>#,##0</c:formatCode>
                <c:ptCount val="3"/>
                <c:pt idx="0">
                  <c:v>152282763.84615088</c:v>
                </c:pt>
                <c:pt idx="1">
                  <c:v>174920192.91057295</c:v>
                </c:pt>
                <c:pt idx="2">
                  <c:v>142672710.58134875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74-46F5-BFAA-DC0F6975F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majorUnit val="50000000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'Zákaznícke služby'!$H$123:$S$123</c:f>
              <c:numCache>
                <c:formatCode>#,##0</c:formatCode>
                <c:ptCount val="12"/>
                <c:pt idx="0">
                  <c:v>6683698.1810000008</c:v>
                </c:pt>
                <c:pt idx="1">
                  <c:v>17053157.32833299</c:v>
                </c:pt>
                <c:pt idx="2">
                  <c:v>17889426.857791357</c:v>
                </c:pt>
                <c:pt idx="3">
                  <c:v>19307413.10859492</c:v>
                </c:pt>
                <c:pt idx="4">
                  <c:v>20843026.208159789</c:v>
                </c:pt>
                <c:pt idx="5">
                  <c:v>22325726.443480752</c:v>
                </c:pt>
                <c:pt idx="6">
                  <c:v>23883595.264325663</c:v>
                </c:pt>
                <c:pt idx="7">
                  <c:v>24918593.597747423</c:v>
                </c:pt>
                <c:pt idx="8">
                  <c:v>25889424.481699098</c:v>
                </c:pt>
                <c:pt idx="9">
                  <c:v>26585472.941545188</c:v>
                </c:pt>
                <c:pt idx="10">
                  <c:v>26947390.035276279</c:v>
                </c:pt>
                <c:pt idx="11">
                  <c:v>4048476.4645987563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36-4267-89A4-80287087025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'Zákaznícke služby'!$H$44:$S$44</c:f>
              <c:numCache>
                <c:formatCode>#,##0</c:formatCode>
                <c:ptCount val="12"/>
                <c:pt idx="0">
                  <c:v>2662971.614688938</c:v>
                </c:pt>
                <c:pt idx="1">
                  <c:v>18594417.332084645</c:v>
                </c:pt>
                <c:pt idx="2">
                  <c:v>18890784.520227283</c:v>
                </c:pt>
                <c:pt idx="3">
                  <c:v>19198172.336796317</c:v>
                </c:pt>
                <c:pt idx="4">
                  <c:v>19593052.779030498</c:v>
                </c:pt>
                <c:pt idx="5">
                  <c:v>19866433.125365242</c:v>
                </c:pt>
                <c:pt idx="6">
                  <c:v>20161147.503820769</c:v>
                </c:pt>
                <c:pt idx="7">
                  <c:v>20526809.400923207</c:v>
                </c:pt>
                <c:pt idx="8">
                  <c:v>20763847.949987758</c:v>
                </c:pt>
                <c:pt idx="9">
                  <c:v>20995410.337759443</c:v>
                </c:pt>
                <c:pt idx="10">
                  <c:v>21123207.095504239</c:v>
                </c:pt>
                <c:pt idx="11">
                  <c:v>1280336.9790743685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36-4267-89A4-80287087025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'Zákaznícke služby'!$H$147:$S$147</c:f>
              <c:numCache>
                <c:formatCode>#,##0</c:formatCode>
                <c:ptCount val="12"/>
                <c:pt idx="0">
                  <c:v>348187.0344</c:v>
                </c:pt>
                <c:pt idx="1">
                  <c:v>17807817.332084648</c:v>
                </c:pt>
                <c:pt idx="2">
                  <c:v>17984184.520227283</c:v>
                </c:pt>
                <c:pt idx="3">
                  <c:v>18291572.336796317</c:v>
                </c:pt>
                <c:pt idx="4">
                  <c:v>18671332.779030498</c:v>
                </c:pt>
                <c:pt idx="5">
                  <c:v>18944713.125365246</c:v>
                </c:pt>
                <c:pt idx="6">
                  <c:v>19229347.503820769</c:v>
                </c:pt>
                <c:pt idx="7">
                  <c:v>19595009.400923207</c:v>
                </c:pt>
                <c:pt idx="8">
                  <c:v>19832047.949987758</c:v>
                </c:pt>
                <c:pt idx="9">
                  <c:v>20053530.337759443</c:v>
                </c:pt>
                <c:pt idx="10">
                  <c:v>20181327.095504243</c:v>
                </c:pt>
                <c:pt idx="11">
                  <c:v>187258.48953718421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36-4267-89A4-802870870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5027424"/>
        <c:axId val="725027752"/>
      </c:lineChart>
      <c:catAx>
        <c:axId val="725027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752"/>
        <c:crosses val="autoZero"/>
        <c:auto val="1"/>
        <c:lblAlgn val="ctr"/>
        <c:lblOffset val="100"/>
        <c:noMultiLvlLbl val="0"/>
      </c:catAx>
      <c:valAx>
        <c:axId val="72502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Logistika a prevádzka OBU</a:t>
            </a:r>
            <a:r>
              <a:rPr lang="cs-CZ" sz="1200" baseline="0"/>
              <a:t> - TCO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BB7F-47DE-BF6F-A062EA4132D4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BB7F-47DE-BF6F-A062EA4132D4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BB7F-47DE-BF6F-A062EA4132D4}"/>
              </c:ext>
            </c:extLst>
          </c:dPt>
          <c:cat>
            <c:strRef>
              <c:f>'Palubné jednotky'!$C$94:$C$96</c:f>
              <c:strCache>
                <c:ptCount val="3"/>
                <c:pt idx="0">
                  <c:v>Alternatíva 1
Komplexné služby Dodávateľa</c:v>
                </c:pt>
                <c:pt idx="1">
                  <c:v>Alternatíva 2
Palubné jednotky vlastní NDS</c:v>
                </c:pt>
                <c:pt idx="2">
                  <c:v>Alternatíva 3
Komerčné OBE Poskytovateľov mýtnych služieb</c:v>
                </c:pt>
              </c:strCache>
            </c:strRef>
          </c:cat>
          <c:val>
            <c:numRef>
              <c:f>'Palubné jednotky'!$D$94:$D$96</c:f>
              <c:numCache>
                <c:formatCode>#,##0</c:formatCode>
                <c:ptCount val="3"/>
                <c:pt idx="0">
                  <c:v>44042006.120387994</c:v>
                </c:pt>
                <c:pt idx="1">
                  <c:v>62048922.684488557</c:v>
                </c:pt>
                <c:pt idx="2">
                  <c:v>877939.2745778379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7F-47DE-BF6F-A062EA413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Logistika a prevádzka OBU</a:t>
            </a:r>
          </a:p>
          <a:p>
            <a:pPr>
              <a:defRPr sz="1200"/>
            </a:pPr>
            <a:r>
              <a:rPr lang="cs-CZ" sz="1200"/>
              <a:t>Náklady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'Palubné jednotky'!$C$94</c:f>
              <c:strCache>
                <c:ptCount val="1"/>
                <c:pt idx="0">
                  <c:v>Alternatíva 1
Komplexné služby Dodávateľa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'Palubné jednotky'!$H$79:$S$79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'Palubné jednotky'!$H$23:$S$23</c:f>
              <c:numCache>
                <c:formatCode>#,##0</c:formatCode>
                <c:ptCount val="12"/>
                <c:pt idx="0">
                  <c:v>2043615.144230769</c:v>
                </c:pt>
                <c:pt idx="1">
                  <c:v>7473620.35872781</c:v>
                </c:pt>
                <c:pt idx="2">
                  <c:v>6814634.600805073</c:v>
                </c:pt>
                <c:pt idx="3">
                  <c:v>5836302.0212563118</c:v>
                </c:pt>
                <c:pt idx="4">
                  <c:v>4923179.6710981475</c:v>
                </c:pt>
                <c:pt idx="5">
                  <c:v>4071697.9491224573</c:v>
                </c:pt>
                <c:pt idx="6">
                  <c:v>3278465.386824985</c:v>
                </c:pt>
                <c:pt idx="7">
                  <c:v>2847150.1122188894</c:v>
                </c:pt>
                <c:pt idx="8">
                  <c:v>2444195.2392925806</c:v>
                </c:pt>
                <c:pt idx="9">
                  <c:v>2209925.0970922895</c:v>
                </c:pt>
                <c:pt idx="10">
                  <c:v>2099220.5397186787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84-4B14-806A-BC791C0A214D}"/>
            </c:ext>
          </c:extLst>
        </c:ser>
        <c:ser>
          <c:idx val="1"/>
          <c:order val="1"/>
          <c:tx>
            <c:strRef>
              <c:f>'Palubné jednotky'!$C$95</c:f>
              <c:strCache>
                <c:ptCount val="1"/>
                <c:pt idx="0">
                  <c:v>Alternatíva 2
Palubné jednotky vlastní NDS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numRef>
              <c:f>'Palubné jednotky'!$H$79:$S$79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'Palubné jednotky'!$H$65:$S$65</c:f>
              <c:numCache>
                <c:formatCode>#,##0</c:formatCode>
                <c:ptCount val="12"/>
                <c:pt idx="0">
                  <c:v>35849154.320358723</c:v>
                </c:pt>
                <c:pt idx="1">
                  <c:v>4024363.9327207552</c:v>
                </c:pt>
                <c:pt idx="2">
                  <c:v>3801173.4794950932</c:v>
                </c:pt>
                <c:pt idx="3">
                  <c:v>3200245.8569288701</c:v>
                </c:pt>
                <c:pt idx="4">
                  <c:v>2894781.7150368597</c:v>
                </c:pt>
                <c:pt idx="5">
                  <c:v>2608494.4065964622</c:v>
                </c:pt>
                <c:pt idx="6">
                  <c:v>2340352.7051577852</c:v>
                </c:pt>
                <c:pt idx="7">
                  <c:v>1934080.5123352653</c:v>
                </c:pt>
                <c:pt idx="8">
                  <c:v>1788685.2454996353</c:v>
                </c:pt>
                <c:pt idx="9">
                  <c:v>1693529.1142448869</c:v>
                </c:pt>
                <c:pt idx="10">
                  <c:v>1043553.577700587</c:v>
                </c:pt>
                <c:pt idx="11">
                  <c:v>870507.81841363595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84-4B14-806A-BC791C0A214D}"/>
            </c:ext>
          </c:extLst>
        </c:ser>
        <c:ser>
          <c:idx val="2"/>
          <c:order val="2"/>
          <c:tx>
            <c:strRef>
              <c:f>'Palubné jednotky'!$C$96</c:f>
              <c:strCache>
                <c:ptCount val="1"/>
                <c:pt idx="0">
                  <c:v>Alternatíva 3
Komerčné OBE Poskytovateľov mýtnych služieb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numRef>
              <c:f>'Palubné jednotky'!$H$79:$S$79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'Palubné jednotky'!$H$83:$S$83</c:f>
              <c:numCache>
                <c:formatCode>#,##0</c:formatCode>
                <c:ptCount val="12"/>
                <c:pt idx="0">
                  <c:v>0</c:v>
                </c:pt>
                <c:pt idx="1">
                  <c:v>95661.778846153829</c:v>
                </c:pt>
                <c:pt idx="2">
                  <c:v>93822.129252958563</c:v>
                </c:pt>
                <c:pt idx="3">
                  <c:v>92017.857536555515</c:v>
                </c:pt>
                <c:pt idx="4">
                  <c:v>90248.283353160194</c:v>
                </c:pt>
                <c:pt idx="5">
                  <c:v>88512.739442522507</c:v>
                </c:pt>
                <c:pt idx="6">
                  <c:v>86810.571376320135</c:v>
                </c:pt>
                <c:pt idx="7">
                  <c:v>85141.137311390892</c:v>
                </c:pt>
                <c:pt idx="8">
                  <c:v>83503.807747710307</c:v>
                </c:pt>
                <c:pt idx="9">
                  <c:v>81897.96529102356</c:v>
                </c:pt>
                <c:pt idx="10">
                  <c:v>80323.004420042344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84-4B14-806A-BC791C0A2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25027424"/>
        <c:axId val="725027752"/>
      </c:barChart>
      <c:catAx>
        <c:axId val="72502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752"/>
        <c:crosses val="autoZero"/>
        <c:auto val="1"/>
        <c:lblAlgn val="ctr"/>
        <c:lblOffset val="100"/>
        <c:noMultiLvlLbl val="0"/>
      </c:catAx>
      <c:valAx>
        <c:axId val="72502775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424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Agenda Správcu výberu mýta</a:t>
            </a:r>
          </a:p>
          <a:p>
            <a:pPr>
              <a:defRPr sz="1200"/>
            </a:pPr>
            <a:r>
              <a:rPr lang="cs-CZ" sz="1200"/>
              <a:t>Náklady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'Agenda SVM'!$C$81</c:f>
              <c:strCache>
                <c:ptCount val="1"/>
                <c:pt idx="0">
                  <c:v>Alternatíva 1
Dodávka a služby Dodávateľa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'Agenda SVM'!$H$47:$S$47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'Agenda SVM'!$H$26:$S$26</c:f>
              <c:numCache>
                <c:formatCode>#,##0</c:formatCode>
                <c:ptCount val="12"/>
                <c:pt idx="0">
                  <c:v>11196944.735438237</c:v>
                </c:pt>
                <c:pt idx="1">
                  <c:v>5320082.1405894402</c:v>
                </c:pt>
                <c:pt idx="2">
                  <c:v>5033922.4380525444</c:v>
                </c:pt>
                <c:pt idx="3">
                  <c:v>4893427.5238880776</c:v>
                </c:pt>
                <c:pt idx="4">
                  <c:v>4715488.9544828152</c:v>
                </c:pt>
                <c:pt idx="5">
                  <c:v>4570308.9686151296</c:v>
                </c:pt>
                <c:pt idx="6">
                  <c:v>4357950.4499357231</c:v>
                </c:pt>
                <c:pt idx="7">
                  <c:v>4410610.6450990355</c:v>
                </c:pt>
                <c:pt idx="8">
                  <c:v>4056642.391371151</c:v>
                </c:pt>
                <c:pt idx="9">
                  <c:v>4021523.8153448538</c:v>
                </c:pt>
                <c:pt idx="10">
                  <c:v>3703058.0049202819</c:v>
                </c:pt>
                <c:pt idx="11">
                  <c:v>1792613.4943457374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98-459C-9C1B-42ADD7546FB8}"/>
            </c:ext>
          </c:extLst>
        </c:ser>
        <c:ser>
          <c:idx val="1"/>
          <c:order val="1"/>
          <c:tx>
            <c:strRef>
              <c:f>'Agenda SVM'!$C$82</c:f>
              <c:strCache>
                <c:ptCount val="1"/>
                <c:pt idx="0">
                  <c:v>Alternatíva 2
Dodávka a prevádzka NDS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numRef>
              <c:f>'Agenda SVM'!$H$47:$S$47</c:f>
              <c:numCache>
                <c:formatCode>General</c:formatCode>
                <c:ptCount val="12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</c:numCache>
            </c:numRef>
          </c:cat>
          <c:val>
            <c:numRef>
              <c:f>'Agenda SVM'!$H$73:$S$73</c:f>
              <c:numCache>
                <c:formatCode>#,##0</c:formatCode>
                <c:ptCount val="12"/>
                <c:pt idx="0">
                  <c:v>13999866.204373149</c:v>
                </c:pt>
                <c:pt idx="1">
                  <c:v>3454041.1418695943</c:v>
                </c:pt>
                <c:pt idx="2">
                  <c:v>3326739.1621326935</c:v>
                </c:pt>
                <c:pt idx="3">
                  <c:v>3262796.4669229905</c:v>
                </c:pt>
                <c:pt idx="4">
                  <c:v>3235255.1154384702</c:v>
                </c:pt>
                <c:pt idx="5">
                  <c:v>3122050.6325803073</c:v>
                </c:pt>
                <c:pt idx="6">
                  <c:v>3043063.8303843169</c:v>
                </c:pt>
                <c:pt idx="7">
                  <c:v>3047271.1730159908</c:v>
                </c:pt>
                <c:pt idx="8">
                  <c:v>2912359.5755460369</c:v>
                </c:pt>
                <c:pt idx="9">
                  <c:v>2853660.2905781656</c:v>
                </c:pt>
                <c:pt idx="10">
                  <c:v>2752923.8055011798</c:v>
                </c:pt>
                <c:pt idx="11">
                  <c:v>1238358.0376244553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98-459C-9C1B-42ADD7546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25027424"/>
        <c:axId val="725027752"/>
      </c:barChart>
      <c:catAx>
        <c:axId val="72502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752"/>
        <c:crosses val="autoZero"/>
        <c:auto val="1"/>
        <c:lblAlgn val="ctr"/>
        <c:lblOffset val="100"/>
        <c:noMultiLvlLbl val="0"/>
      </c:catAx>
      <c:valAx>
        <c:axId val="72502775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5027424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Agenda Správcu výberu mýta </a:t>
            </a:r>
            <a:r>
              <a:rPr lang="cs-CZ" sz="1200" baseline="0"/>
              <a:t>- TCO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9E02-4523-9716-3F82F904A944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9E02-4523-9716-3F82F904A944}"/>
              </c:ext>
            </c:extLst>
          </c:dPt>
          <c:cat>
            <c:strRef>
              <c:f>'Agenda SVM'!$C$81:$C$82</c:f>
              <c:strCache>
                <c:ptCount val="2"/>
                <c:pt idx="0">
                  <c:v>Alternatíva 1
Dodávka a služby Dodávateľa</c:v>
                </c:pt>
                <c:pt idx="1">
                  <c:v>Alternatíva 2
Dodávka a prevádzka NDS</c:v>
                </c:pt>
              </c:strCache>
            </c:strRef>
          </c:cat>
          <c:val>
            <c:numRef>
              <c:f>'Agenda SVM'!$D$81:$D$82</c:f>
              <c:numCache>
                <c:formatCode>#,##0</c:formatCode>
                <c:ptCount val="2"/>
                <c:pt idx="0">
                  <c:v>58072573.562083028</c:v>
                </c:pt>
                <c:pt idx="1">
                  <c:v>46248385.435967341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02-4523-9716-3F82F904A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dispUnits>
          <c:builtInUnit val="million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/>
              <a:t>Elektronický</a:t>
            </a:r>
            <a:r>
              <a:rPr lang="cs-CZ" sz="1200" baseline="0"/>
              <a:t> výber mýta - TCO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3225-43BA-9C51-C387D4CDAED9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3225-43BA-9C51-C387D4CDAED9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3225-43BA-9C51-C387D4CDAED9}"/>
              </c:ext>
            </c:extLst>
          </c:dPt>
          <c:dPt>
            <c:idx val="3"/>
            <c:invertIfNegative val="0"/>
            <c:bubble3D val="0"/>
            <c:spPr>
              <a:pattFill prst="narHorz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4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7-9E53-407E-997A-B203BFA05E09}"/>
              </c:ext>
            </c:extLst>
          </c:dPt>
          <c:cat>
            <c:strRef>
              <c:f>Vyhodnotenie!$E$10:$H$10</c:f>
              <c:strCache>
                <c:ptCount val="3"/>
                <c:pt idx="0">
                  <c:v>Alternatíva 1</c:v>
                </c:pt>
                <c:pt idx="1">
                  <c:v>Alternatíva 2</c:v>
                </c:pt>
                <c:pt idx="2">
                  <c:v>Alternatíva 3</c:v>
                </c:pt>
              </c:strCache>
            </c:strRef>
          </c:cat>
          <c:val>
            <c:numRef>
              <c:f>Vyhodnotenie!$E$14:$H$14</c:f>
              <c:numCache>
                <c:formatCode>#,##0</c:formatCode>
                <c:ptCount val="4"/>
                <c:pt idx="0">
                  <c:v>254397343.52862191</c:v>
                </c:pt>
                <c:pt idx="1">
                  <c:v>283217501.03102887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225-43BA-9C51-C387D4CDA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  <c:dispUnits>
          <c:builtInUnit val="millions"/>
          <c:dispUnitsLbl>
            <c:layout/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cs-CZ"/>
                    <a:t>[mil. Eur]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aseline="0"/>
              <a:t>Nákladová výnosnosť </a:t>
            </a:r>
          </a:p>
          <a:p>
            <a:pPr>
              <a:defRPr sz="1200"/>
            </a:pPr>
            <a:r>
              <a:rPr lang="cs-CZ" sz="1200" baseline="0"/>
              <a:t>základný rozsah VÚC</a:t>
            </a:r>
          </a:p>
          <a:p>
            <a:pPr>
              <a:defRPr sz="1200"/>
            </a:pPr>
            <a:r>
              <a:rPr lang="cs-CZ" sz="1200" baseline="0"/>
              <a:t>10 rokov prevádzky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narHorz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CF7F-4231-9C9F-A41E5820A3ED}"/>
              </c:ext>
            </c:extLst>
          </c:dPt>
          <c:dPt>
            <c:idx val="1"/>
            <c:invertIfNegative val="0"/>
            <c:bubble3D val="0"/>
            <c:spPr>
              <a:pattFill prst="narHorz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CF7F-4231-9C9F-A41E5820A3ED}"/>
              </c:ext>
            </c:extLst>
          </c:dPt>
          <c:dPt>
            <c:idx val="2"/>
            <c:invertIfNegative val="0"/>
            <c:bubble3D val="0"/>
            <c:spPr>
              <a:pattFill prst="narHorz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3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CF7F-4231-9C9F-A41E5820A3ED}"/>
              </c:ext>
            </c:extLst>
          </c:dPt>
          <c:dPt>
            <c:idx val="3"/>
            <c:invertIfNegative val="0"/>
            <c:bubble3D val="0"/>
            <c:spPr>
              <a:pattFill prst="narHorz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>
                <a:noFill/>
              </a:ln>
              <a:effectLst>
                <a:innerShdw blurRad="114300">
                  <a:schemeClr val="accent4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7-CF7F-4231-9C9F-A41E5820A3ED}"/>
              </c:ext>
            </c:extLst>
          </c:dPt>
          <c:cat>
            <c:strRef>
              <c:f>Vyhodnotenie!$E$10:$H$10</c:f>
              <c:strCache>
                <c:ptCount val="3"/>
                <c:pt idx="0">
                  <c:v>Alternatíva 1</c:v>
                </c:pt>
                <c:pt idx="1">
                  <c:v>Alternatíva 2</c:v>
                </c:pt>
                <c:pt idx="2">
                  <c:v>Alternatíva 3</c:v>
                </c:pt>
              </c:strCache>
            </c:strRef>
          </c:cat>
          <c:val>
            <c:numRef>
              <c:f>Vyhodnotenie!$E$17:$H$17</c:f>
              <c:numCache>
                <c:formatCode>0.0%</c:formatCode>
                <c:ptCount val="4"/>
                <c:pt idx="0">
                  <c:v>0.13413933225273467</c:v>
                </c:pt>
                <c:pt idx="1">
                  <c:v>0.14933570431059209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7F-4231-9C9F-A41E5820A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38907160"/>
        <c:axId val="738900272"/>
      </c:barChart>
      <c:catAx>
        <c:axId val="73890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0272"/>
        <c:crosses val="autoZero"/>
        <c:auto val="1"/>
        <c:lblAlgn val="ctr"/>
        <c:lblOffset val="100"/>
        <c:noMultiLvlLbl val="0"/>
      </c:catAx>
      <c:valAx>
        <c:axId val="73890027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3890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160</xdr:row>
      <xdr:rowOff>4761</xdr:rowOff>
    </xdr:from>
    <xdr:to>
      <xdr:col>16</xdr:col>
      <xdr:colOff>171450</xdr:colOff>
      <xdr:row>178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160</xdr:row>
      <xdr:rowOff>119062</xdr:rowOff>
    </xdr:from>
    <xdr:to>
      <xdr:col>4</xdr:col>
      <xdr:colOff>495300</xdr:colOff>
      <xdr:row>177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428625</xdr:colOff>
      <xdr:row>63</xdr:row>
      <xdr:rowOff>0</xdr:rowOff>
    </xdr:from>
    <xdr:to>
      <xdr:col>28</xdr:col>
      <xdr:colOff>123825</xdr:colOff>
      <xdr:row>63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97</xdr:row>
      <xdr:rowOff>119061</xdr:rowOff>
    </xdr:from>
    <xdr:to>
      <xdr:col>4</xdr:col>
      <xdr:colOff>495300</xdr:colOff>
      <xdr:row>117</xdr:row>
      <xdr:rowOff>123824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98</xdr:row>
      <xdr:rowOff>0</xdr:rowOff>
    </xdr:from>
    <xdr:to>
      <xdr:col>15</xdr:col>
      <xdr:colOff>85725</xdr:colOff>
      <xdr:row>116</xdr:row>
      <xdr:rowOff>4763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83</xdr:row>
      <xdr:rowOff>4761</xdr:rowOff>
    </xdr:from>
    <xdr:to>
      <xdr:col>16</xdr:col>
      <xdr:colOff>171450</xdr:colOff>
      <xdr:row>101</xdr:row>
      <xdr:rowOff>9524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276225</xdr:colOff>
      <xdr:row>83</xdr:row>
      <xdr:rowOff>119062</xdr:rowOff>
    </xdr:from>
    <xdr:to>
      <xdr:col>4</xdr:col>
      <xdr:colOff>495300</xdr:colOff>
      <xdr:row>100</xdr:row>
      <xdr:rowOff>109537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22</xdr:row>
      <xdr:rowOff>0</xdr:rowOff>
    </xdr:from>
    <xdr:to>
      <xdr:col>5</xdr:col>
      <xdr:colOff>523875</xdr:colOff>
      <xdr:row>42</xdr:row>
      <xdr:rowOff>4763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0</xdr:rowOff>
    </xdr:from>
    <xdr:to>
      <xdr:col>14</xdr:col>
      <xdr:colOff>114300</xdr:colOff>
      <xdr:row>42</xdr:row>
      <xdr:rowOff>4763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61</xdr:row>
      <xdr:rowOff>0</xdr:rowOff>
    </xdr:from>
    <xdr:to>
      <xdr:col>5</xdr:col>
      <xdr:colOff>523875</xdr:colOff>
      <xdr:row>81</xdr:row>
      <xdr:rowOff>4763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0_Model_pr&#237;jm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4_Organ_&#353;trukt&#250;ra_a_os_n&#225;kl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21_Ocenenie_implement&#225;ci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edochovicl/Documents/01%20Projects/02%20NDS%2018/_Outputs/SU/2020-06-18_zaprac_prip_NDS/Pr&#237;loha_13_Technol&#243;gi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3_Technol&#243;gi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11_Alternat&#237;vy_V&#218;C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r&#237;loha_22_ocenenie_rizi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Vyhodnotenie_DV"/>
      <sheetName val="Vyhodnotenie_VPSM"/>
      <sheetName val="Vyhodnotenie_E"/>
      <sheetName val="Vyhodnotenie_TRX"/>
      <sheetName val="Prognóza_1"/>
      <sheetName val="Prognóza_2"/>
      <sheetName val="Prognóza_3"/>
      <sheetName val="Prognóza_4"/>
      <sheetName val="Prognóza_4Ba"/>
      <sheetName val="Výber_mýta_P4"/>
      <sheetName val="Výber_mýta_P4R1i"/>
      <sheetName val="Výber_mýta_P4R1i23"/>
      <sheetName val="Výber_mýta_P4Ba"/>
      <sheetName val="Výber_mýta_P4Ba1O"/>
      <sheetName val="Výber_mýta_P4Ba1Oi"/>
      <sheetName val="Zľavy"/>
      <sheetName val="Dĺžky VÚC"/>
      <sheetName val="Dáta_ETC"/>
      <sheetName val="Sheet4"/>
      <sheetName val="Dáta_CSD2015_C2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5">
          <cell r="I15">
            <v>234708.86200920981</v>
          </cell>
        </row>
      </sheetData>
      <sheetData sheetId="14">
        <row r="16">
          <cell r="I16">
            <v>241807585.02806833</v>
          </cell>
          <cell r="J16">
            <v>246101013.80952594</v>
          </cell>
          <cell r="K16">
            <v>250555212.41166478</v>
          </cell>
          <cell r="L16">
            <v>256072390.1231077</v>
          </cell>
          <cell r="M16">
            <v>260023803.96607187</v>
          </cell>
          <cell r="N16">
            <v>264139340.57404363</v>
          </cell>
          <cell r="O16">
            <v>269445053.07708359</v>
          </cell>
          <cell r="P16">
            <v>272857812.38930303</v>
          </cell>
          <cell r="Q16">
            <v>276040342.58961749</v>
          </cell>
          <cell r="R16">
            <v>277843651.66184527</v>
          </cell>
        </row>
      </sheetData>
      <sheetData sheetId="15"/>
      <sheetData sheetId="16"/>
      <sheetData sheetId="17">
        <row r="73">
          <cell r="G73">
            <v>444.76599999999985</v>
          </cell>
          <cell r="H73">
            <v>447.76599999999985</v>
          </cell>
          <cell r="I73">
            <v>465.76599999999985</v>
          </cell>
          <cell r="J73">
            <v>486.76599999999985</v>
          </cell>
          <cell r="K73">
            <v>506.76599999999985</v>
          </cell>
          <cell r="L73">
            <v>523.46599999999989</v>
          </cell>
          <cell r="M73">
            <v>595.46599999999989</v>
          </cell>
          <cell r="N73">
            <v>617.46599999999989</v>
          </cell>
          <cell r="O73">
            <v>665.46599999999989</v>
          </cell>
          <cell r="P73">
            <v>667.46599999999989</v>
          </cell>
        </row>
        <row r="75">
          <cell r="G75">
            <v>1183.0240000000013</v>
          </cell>
          <cell r="H75">
            <v>1180.0240000000013</v>
          </cell>
          <cell r="I75">
            <v>1167.7540000000013</v>
          </cell>
          <cell r="J75">
            <v>1173.6370000000013</v>
          </cell>
          <cell r="K75">
            <v>1153.6370000000013</v>
          </cell>
          <cell r="L75">
            <v>1144.7370000000012</v>
          </cell>
          <cell r="M75">
            <v>1091.7370000000012</v>
          </cell>
          <cell r="N75">
            <v>1079.2370000000012</v>
          </cell>
          <cell r="O75">
            <v>1031.2370000000012</v>
          </cell>
          <cell r="P75">
            <v>1029.2370000000012</v>
          </cell>
        </row>
        <row r="77">
          <cell r="G77">
            <v>590.2330000000004</v>
          </cell>
          <cell r="H77">
            <v>590.2330000000004</v>
          </cell>
          <cell r="I77">
            <v>590.2330000000004</v>
          </cell>
          <cell r="J77">
            <v>590.2330000000004</v>
          </cell>
          <cell r="K77">
            <v>590.2330000000004</v>
          </cell>
          <cell r="L77">
            <v>590.2330000000004</v>
          </cell>
          <cell r="M77">
            <v>590.2330000000004</v>
          </cell>
          <cell r="N77">
            <v>590.2330000000004</v>
          </cell>
          <cell r="O77">
            <v>590.2330000000004</v>
          </cell>
          <cell r="P77">
            <v>590.2330000000004</v>
          </cell>
        </row>
        <row r="82">
          <cell r="G82">
            <v>534.99199999999996</v>
          </cell>
          <cell r="H82">
            <v>534.99199999999996</v>
          </cell>
          <cell r="I82">
            <v>549.91199999999992</v>
          </cell>
          <cell r="J82">
            <v>563.42199999999991</v>
          </cell>
          <cell r="K82">
            <v>563.42199999999991</v>
          </cell>
          <cell r="L82">
            <v>589.22199999999987</v>
          </cell>
          <cell r="M82">
            <v>589.22199999999987</v>
          </cell>
          <cell r="N82">
            <v>592.79199999999992</v>
          </cell>
          <cell r="O82">
            <v>606.32199999999989</v>
          </cell>
          <cell r="P82">
            <v>606.32199999999989</v>
          </cell>
        </row>
      </sheetData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kaznícke služby (alt.1)"/>
      <sheetName val="Zákaznícke služby (alt.2)"/>
      <sheetName val="Zákaznícke služby (alt.3)"/>
      <sheetName val="Palubné jednotky (alt.1)"/>
      <sheetName val="Palubné jednotky (alt.2)"/>
      <sheetName val="Palubné jednotky (alt.3)"/>
      <sheetName val="Agenda SVM (alt.1)"/>
      <sheetName val="Agenda SVM (alt.2)"/>
      <sheetName val="Vstupné dáta"/>
    </sheetNames>
    <sheetDataSet>
      <sheetData sheetId="0">
        <row r="13">
          <cell r="G13">
            <v>17331</v>
          </cell>
        </row>
      </sheetData>
      <sheetData sheetId="1">
        <row r="60">
          <cell r="G60">
            <v>132696</v>
          </cell>
        </row>
        <row r="77">
          <cell r="G77">
            <v>18701</v>
          </cell>
        </row>
        <row r="108">
          <cell r="G108">
            <v>51930</v>
          </cell>
        </row>
      </sheetData>
      <sheetData sheetId="2">
        <row r="13">
          <cell r="G13">
            <v>17331</v>
          </cell>
        </row>
      </sheetData>
      <sheetData sheetId="3">
        <row r="10">
          <cell r="G10">
            <v>8450</v>
          </cell>
        </row>
      </sheetData>
      <sheetData sheetId="4">
        <row r="31">
          <cell r="G31">
            <v>63821</v>
          </cell>
        </row>
        <row r="45">
          <cell r="G45">
            <v>19450</v>
          </cell>
        </row>
      </sheetData>
      <sheetData sheetId="5">
        <row r="10">
          <cell r="G10">
            <v>8450</v>
          </cell>
        </row>
      </sheetData>
      <sheetData sheetId="6">
        <row r="15">
          <cell r="G15">
            <v>23002</v>
          </cell>
        </row>
      </sheetData>
      <sheetData sheetId="7">
        <row r="100">
          <cell r="G100">
            <v>233373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_UCPA_Moduly"/>
      <sheetName val="TFC"/>
      <sheetName val="ECF"/>
      <sheetName val="UAW"/>
      <sheetName val="UUCW"/>
      <sheetName val="Skratky"/>
      <sheetName val="Zakaznicke sluzby"/>
      <sheetName val="PIVOT"/>
      <sheetName val="Sprava myta"/>
      <sheetName val="OBU"/>
    </sheetNames>
    <sheetDataSet>
      <sheetData sheetId="0">
        <row r="10">
          <cell r="B10">
            <v>1344843.7499999998</v>
          </cell>
          <cell r="C10">
            <v>191700</v>
          </cell>
          <cell r="D10">
            <v>1010282.6249999998</v>
          </cell>
          <cell r="E10">
            <v>306506.53125</v>
          </cell>
          <cell r="F10">
            <v>123126.74999999999</v>
          </cell>
          <cell r="G10">
            <v>319280.40000000002</v>
          </cell>
          <cell r="H10">
            <v>517843.125</v>
          </cell>
          <cell r="I10">
            <v>219621.93749999997</v>
          </cell>
          <cell r="J10">
            <v>1131084.3749999998</v>
          </cell>
          <cell r="K10">
            <v>63686.25</v>
          </cell>
          <cell r="L10">
            <v>99067.499999999985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RC"/>
      <sheetName val="GNSS"/>
      <sheetName val="GNSS_O1"/>
    </sheetNames>
    <sheetDataSet>
      <sheetData sheetId="0"/>
      <sheetData sheetId="1">
        <row r="19">
          <cell r="H19">
            <v>1262</v>
          </cell>
          <cell r="I19">
            <v>1277</v>
          </cell>
          <cell r="J19">
            <v>1281</v>
          </cell>
          <cell r="K19">
            <v>1290</v>
          </cell>
          <cell r="L19">
            <v>1317</v>
          </cell>
          <cell r="M19">
            <v>1330</v>
          </cell>
          <cell r="N19">
            <v>1345</v>
          </cell>
          <cell r="O19">
            <v>1391</v>
          </cell>
          <cell r="P19">
            <v>1410</v>
          </cell>
          <cell r="Q19">
            <v>1433</v>
          </cell>
          <cell r="R19">
            <v>1440</v>
          </cell>
        </row>
        <row r="24">
          <cell r="D24">
            <v>3450</v>
          </cell>
        </row>
        <row r="28">
          <cell r="H28">
            <v>4353900</v>
          </cell>
          <cell r="I28">
            <v>113850</v>
          </cell>
          <cell r="J28">
            <v>27600</v>
          </cell>
          <cell r="K28">
            <v>86250</v>
          </cell>
          <cell r="L28">
            <v>93150</v>
          </cell>
          <cell r="M28">
            <v>134550</v>
          </cell>
          <cell r="N28">
            <v>93150</v>
          </cell>
          <cell r="O28">
            <v>400200</v>
          </cell>
          <cell r="P28">
            <v>120750</v>
          </cell>
          <cell r="Q28">
            <v>300150</v>
          </cell>
          <cell r="R28">
            <v>31050</v>
          </cell>
        </row>
        <row r="41">
          <cell r="H41">
            <v>3</v>
          </cell>
          <cell r="I41">
            <v>12</v>
          </cell>
          <cell r="J41">
            <v>12</v>
          </cell>
          <cell r="K41">
            <v>12</v>
          </cell>
          <cell r="L41">
            <v>12</v>
          </cell>
          <cell r="M41">
            <v>12</v>
          </cell>
          <cell r="N41">
            <v>12</v>
          </cell>
          <cell r="O41">
            <v>12</v>
          </cell>
          <cell r="P41">
            <v>12</v>
          </cell>
          <cell r="Q41">
            <v>12</v>
          </cell>
          <cell r="R41">
            <v>12</v>
          </cell>
          <cell r="S41">
            <v>0</v>
          </cell>
        </row>
        <row r="42">
          <cell r="H42">
            <v>420000</v>
          </cell>
        </row>
        <row r="44">
          <cell r="H44">
            <v>280000</v>
          </cell>
          <cell r="I44">
            <v>280000</v>
          </cell>
          <cell r="J44">
            <v>280000</v>
          </cell>
          <cell r="K44">
            <v>280000</v>
          </cell>
          <cell r="L44">
            <v>280000</v>
          </cell>
          <cell r="M44">
            <v>280000</v>
          </cell>
          <cell r="N44">
            <v>280000</v>
          </cell>
          <cell r="O44">
            <v>280000</v>
          </cell>
          <cell r="P44">
            <v>280000</v>
          </cell>
          <cell r="Q44">
            <v>280000</v>
          </cell>
          <cell r="R44">
            <v>280000</v>
          </cell>
          <cell r="S44"/>
        </row>
        <row r="45">
          <cell r="C45">
            <v>85</v>
          </cell>
        </row>
        <row r="107">
          <cell r="E107">
            <v>2.6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RC"/>
      <sheetName val="GNSS"/>
      <sheetName val="GNSS_O1"/>
      <sheetName val="Príloha_13_Technológie"/>
    </sheetNames>
    <sheetDataSet>
      <sheetData sheetId="0"/>
      <sheetData sheetId="1">
        <row r="19">
          <cell r="H19">
            <v>1262</v>
          </cell>
        </row>
        <row r="24">
          <cell r="D24">
            <v>3450</v>
          </cell>
        </row>
      </sheetData>
      <sheetData sheetId="2">
        <row r="21">
          <cell r="H21">
            <v>1584</v>
          </cell>
          <cell r="I21">
            <v>1599</v>
          </cell>
          <cell r="J21">
            <v>1603</v>
          </cell>
          <cell r="K21">
            <v>1612</v>
          </cell>
          <cell r="L21">
            <v>1639</v>
          </cell>
          <cell r="M21">
            <v>1652</v>
          </cell>
          <cell r="N21">
            <v>1667</v>
          </cell>
          <cell r="O21">
            <v>1713</v>
          </cell>
          <cell r="P21">
            <v>1732</v>
          </cell>
          <cell r="Q21">
            <v>1755</v>
          </cell>
          <cell r="R21">
            <v>1762</v>
          </cell>
        </row>
      </sheetData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ernatívy"/>
      <sheetName val="Porovnanie"/>
    </sheetNames>
    <sheetDataSet>
      <sheetData sheetId="0">
        <row r="15">
          <cell r="E15">
            <v>1896515.6547022813</v>
          </cell>
          <cell r="L15">
            <v>1950743.1898418921</v>
          </cell>
          <cell r="S15">
            <v>2170700.0093456162</v>
          </cell>
        </row>
        <row r="17">
          <cell r="Z17">
            <v>2275860.3585475506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tové riziká"/>
      <sheetName val="Prevádzkové riziká"/>
      <sheetName val="Sumarizácia"/>
    </sheetNames>
    <sheetDataSet>
      <sheetData sheetId="0"/>
      <sheetData sheetId="1"/>
      <sheetData sheetId="2">
        <row r="5">
          <cell r="D5">
            <v>6797964.3305981038</v>
          </cell>
        </row>
        <row r="6">
          <cell r="D6">
            <v>2327120.1833805298</v>
          </cell>
        </row>
        <row r="7">
          <cell r="D7">
            <v>3837444.3116389383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59"/>
  <sheetViews>
    <sheetView topLeftCell="A72" zoomScale="90" zoomScaleNormal="90" workbookViewId="0">
      <selection activeCell="A82" sqref="A82:XFD82"/>
    </sheetView>
  </sheetViews>
  <sheetFormatPr defaultRowHeight="12.75" x14ac:dyDescent="0.2"/>
  <cols>
    <col min="1" max="1" width="9.140625" customWidth="1"/>
    <col min="2" max="2" width="9.5703125" style="2" customWidth="1"/>
    <col min="3" max="3" width="43.140625" customWidth="1"/>
    <col min="4" max="4" width="22.140625" customWidth="1"/>
    <col min="5" max="5" width="21" customWidth="1"/>
    <col min="6" max="6" width="10.7109375" customWidth="1"/>
    <col min="7" max="7" width="10.28515625" style="15" customWidth="1"/>
    <col min="8" max="8" width="9.85546875" bestFit="1" customWidth="1"/>
    <col min="9" max="9" width="9.7109375" bestFit="1" customWidth="1"/>
  </cols>
  <sheetData>
    <row r="2" spans="2:19" ht="20.25" thickBot="1" x14ac:dyDescent="0.35">
      <c r="B2" s="80" t="s">
        <v>49</v>
      </c>
      <c r="C2" s="80"/>
      <c r="D2" s="80"/>
      <c r="E2" s="80"/>
      <c r="F2" s="80"/>
      <c r="G2" s="80"/>
      <c r="N2" s="60" t="s">
        <v>499</v>
      </c>
      <c r="O2" s="60"/>
      <c r="P2" s="60"/>
      <c r="Q2" s="60"/>
      <c r="R2" s="60"/>
      <c r="S2" s="60"/>
    </row>
    <row r="3" spans="2:19" ht="13.5" thickTop="1" x14ac:dyDescent="0.2"/>
    <row r="4" spans="2:19" ht="15.75" thickBot="1" x14ac:dyDescent="0.3">
      <c r="B4" s="22" t="s">
        <v>50</v>
      </c>
      <c r="C4" s="23"/>
    </row>
    <row r="6" spans="2:19" ht="13.5" x14ac:dyDescent="0.2">
      <c r="B6" s="13"/>
      <c r="C6" s="21" t="s">
        <v>48</v>
      </c>
      <c r="D6" s="13" t="s">
        <v>51</v>
      </c>
      <c r="E6" s="82" t="s">
        <v>53</v>
      </c>
      <c r="F6" s="82"/>
      <c r="G6" s="13" t="s">
        <v>35</v>
      </c>
      <c r="H6" s="13">
        <v>2022</v>
      </c>
      <c r="I6" s="13">
        <v>2023</v>
      </c>
      <c r="J6" s="13">
        <v>2024</v>
      </c>
      <c r="K6" s="13">
        <v>2025</v>
      </c>
      <c r="L6" s="13">
        <v>2026</v>
      </c>
      <c r="M6" s="13">
        <v>2027</v>
      </c>
      <c r="N6" s="13">
        <v>2028</v>
      </c>
      <c r="O6" s="13">
        <v>2029</v>
      </c>
      <c r="P6" s="13">
        <v>2030</v>
      </c>
      <c r="Q6" s="13">
        <v>2031</v>
      </c>
      <c r="R6" s="13">
        <v>2032</v>
      </c>
      <c r="S6" s="13">
        <v>2033</v>
      </c>
    </row>
    <row r="7" spans="2:19" s="10" customFormat="1" ht="12" x14ac:dyDescent="0.15">
      <c r="B7" s="11"/>
      <c r="C7" s="11"/>
      <c r="D7" s="11"/>
      <c r="E7" s="12"/>
      <c r="F7" s="12"/>
      <c r="G7" s="12">
        <v>1</v>
      </c>
      <c r="H7" s="12">
        <v>2</v>
      </c>
      <c r="I7" s="12">
        <v>3</v>
      </c>
      <c r="J7" s="12">
        <v>4</v>
      </c>
      <c r="K7" s="12">
        <v>5</v>
      </c>
      <c r="L7" s="12">
        <v>6</v>
      </c>
      <c r="M7" s="12">
        <v>7</v>
      </c>
      <c r="N7" s="12">
        <v>8</v>
      </c>
      <c r="O7" s="12">
        <v>9</v>
      </c>
      <c r="P7" s="12">
        <v>10</v>
      </c>
      <c r="Q7" s="12">
        <v>11</v>
      </c>
      <c r="R7" s="12">
        <v>12</v>
      </c>
      <c r="S7" s="12">
        <v>13</v>
      </c>
    </row>
    <row r="8" spans="2:19" ht="16.5" customHeight="1" x14ac:dyDescent="0.2">
      <c r="B8" s="7"/>
      <c r="C8" s="8" t="s">
        <v>52</v>
      </c>
      <c r="D8" s="27" t="s">
        <v>34</v>
      </c>
      <c r="E8" s="8"/>
      <c r="F8" s="8"/>
      <c r="G8" s="7" t="s">
        <v>169</v>
      </c>
      <c r="H8" s="6"/>
      <c r="I8" s="6">
        <f>[1]Výber_mýta_P4Ba1O!I$16</f>
        <v>241807585.02806833</v>
      </c>
      <c r="J8" s="6">
        <f>[1]Výber_mýta_P4Ba1O!J$16</f>
        <v>246101013.80952594</v>
      </c>
      <c r="K8" s="6">
        <f>[1]Výber_mýta_P4Ba1O!K$16</f>
        <v>250555212.41166478</v>
      </c>
      <c r="L8" s="6">
        <f>[1]Výber_mýta_P4Ba1O!L$16</f>
        <v>256072390.1231077</v>
      </c>
      <c r="M8" s="6">
        <f>[1]Výber_mýta_P4Ba1O!M$16</f>
        <v>260023803.96607187</v>
      </c>
      <c r="N8" s="6">
        <f>[1]Výber_mýta_P4Ba1O!N$16</f>
        <v>264139340.57404363</v>
      </c>
      <c r="O8" s="6">
        <f>[1]Výber_mýta_P4Ba1O!O$16</f>
        <v>269445053.07708359</v>
      </c>
      <c r="P8" s="6">
        <f>[1]Výber_mýta_P4Ba1O!P$16</f>
        <v>272857812.38930303</v>
      </c>
      <c r="Q8" s="6">
        <f>[1]Výber_mýta_P4Ba1O!Q$16</f>
        <v>276040342.58961749</v>
      </c>
      <c r="R8" s="6">
        <f>[1]Výber_mýta_P4Ba1O!R$16</f>
        <v>277843651.66184527</v>
      </c>
      <c r="S8" s="6"/>
    </row>
    <row r="9" spans="2:19" ht="13.5" x14ac:dyDescent="0.2">
      <c r="B9" s="7"/>
      <c r="C9" s="8" t="s">
        <v>142</v>
      </c>
      <c r="D9" s="27" t="s">
        <v>168</v>
      </c>
      <c r="E9" s="8"/>
      <c r="F9" s="8"/>
      <c r="G9" s="7" t="s">
        <v>170</v>
      </c>
      <c r="H9" s="6"/>
      <c r="I9" s="26">
        <f>'[1]Dĺžky VÚC'!G$82+'[1]Dĺžky VÚC'!G$82</f>
        <v>1069.9839999999999</v>
      </c>
      <c r="J9" s="26">
        <f>'[1]Dĺžky VÚC'!H$82+'[1]Dĺžky VÚC'!H$82</f>
        <v>1069.9839999999999</v>
      </c>
      <c r="K9" s="26">
        <f>'[1]Dĺžky VÚC'!I$82+'[1]Dĺžky VÚC'!I$82</f>
        <v>1099.8239999999998</v>
      </c>
      <c r="L9" s="26">
        <f>'[1]Dĺžky VÚC'!J$82+'[1]Dĺžky VÚC'!J$82</f>
        <v>1126.8439999999998</v>
      </c>
      <c r="M9" s="26">
        <f>'[1]Dĺžky VÚC'!K$82+'[1]Dĺžky VÚC'!K$82</f>
        <v>1126.8439999999998</v>
      </c>
      <c r="N9" s="26">
        <f>'[1]Dĺžky VÚC'!L$82+'[1]Dĺžky VÚC'!L$82</f>
        <v>1178.4439999999997</v>
      </c>
      <c r="O9" s="26">
        <f>'[1]Dĺžky VÚC'!M$82+'[1]Dĺžky VÚC'!M$82</f>
        <v>1178.4439999999997</v>
      </c>
      <c r="P9" s="26">
        <f>'[1]Dĺžky VÚC'!N$82+'[1]Dĺžky VÚC'!N$82</f>
        <v>1185.5839999999998</v>
      </c>
      <c r="Q9" s="26">
        <f>'[1]Dĺžky VÚC'!O$82+'[1]Dĺžky VÚC'!O$82</f>
        <v>1212.6439999999998</v>
      </c>
      <c r="R9" s="26">
        <f>'[1]Dĺžky VÚC'!P$82+'[1]Dĺžky VÚC'!P$82</f>
        <v>1212.6439999999998</v>
      </c>
      <c r="S9" s="6"/>
    </row>
    <row r="10" spans="2:19" ht="13.5" x14ac:dyDescent="0.2">
      <c r="B10" s="7"/>
      <c r="C10" s="8" t="s">
        <v>143</v>
      </c>
      <c r="D10" s="27" t="s">
        <v>168</v>
      </c>
      <c r="E10" s="8"/>
      <c r="F10" s="8"/>
      <c r="G10" s="7" t="s">
        <v>171</v>
      </c>
      <c r="H10" s="6"/>
      <c r="I10" s="26">
        <f>SUM('[1]Dĺžky VÚC'!G$73,'[1]Dĺžky VÚC'!G$75,'[1]Dĺžky VÚC'!G$77)</f>
        <v>2218.0230000000015</v>
      </c>
      <c r="J10" s="26">
        <f>SUM('[1]Dĺžky VÚC'!H$73,'[1]Dĺžky VÚC'!H$75,'[1]Dĺžky VÚC'!H$77)</f>
        <v>2218.0230000000015</v>
      </c>
      <c r="K10" s="26">
        <f>SUM('[1]Dĺžky VÚC'!I$73,'[1]Dĺžky VÚC'!I$75,'[1]Dĺžky VÚC'!I$77)</f>
        <v>2223.7530000000015</v>
      </c>
      <c r="L10" s="26">
        <f>SUM('[1]Dĺžky VÚC'!J$73,'[1]Dĺžky VÚC'!J$75,'[1]Dĺžky VÚC'!J$77)</f>
        <v>2250.6360000000013</v>
      </c>
      <c r="M10" s="26">
        <f>SUM('[1]Dĺžky VÚC'!K$73,'[1]Dĺžky VÚC'!K$75,'[1]Dĺžky VÚC'!K$77)</f>
        <v>2250.6360000000013</v>
      </c>
      <c r="N10" s="26">
        <f>SUM('[1]Dĺžky VÚC'!L$73,'[1]Dĺžky VÚC'!L$75,'[1]Dĺžky VÚC'!L$77)</f>
        <v>2258.4360000000015</v>
      </c>
      <c r="O10" s="26">
        <f>SUM('[1]Dĺžky VÚC'!M$73,'[1]Dĺžky VÚC'!M$75,'[1]Dĺžky VÚC'!M$77)</f>
        <v>2277.4360000000015</v>
      </c>
      <c r="P10" s="26">
        <f>SUM('[1]Dĺžky VÚC'!N$73,'[1]Dĺžky VÚC'!N$75,'[1]Dĺžky VÚC'!N$77)</f>
        <v>2286.9360000000015</v>
      </c>
      <c r="Q10" s="26">
        <f>SUM('[1]Dĺžky VÚC'!O$73,'[1]Dĺžky VÚC'!O$75,'[1]Dĺžky VÚC'!O$77)</f>
        <v>2286.9360000000015</v>
      </c>
      <c r="R10" s="26">
        <f>SUM('[1]Dĺžky VÚC'!P$73,'[1]Dĺžky VÚC'!P$75,'[1]Dĺžky VÚC'!P$77)</f>
        <v>2286.9360000000015</v>
      </c>
      <c r="S10" s="6"/>
    </row>
    <row r="11" spans="2:19" ht="13.5" x14ac:dyDescent="0.2">
      <c r="B11" s="7"/>
      <c r="C11" s="8" t="s">
        <v>144</v>
      </c>
      <c r="D11" s="18"/>
      <c r="E11" s="8">
        <v>50</v>
      </c>
      <c r="F11" s="8" t="s">
        <v>145</v>
      </c>
      <c r="G11" s="7" t="s">
        <v>172</v>
      </c>
      <c r="H11" s="6">
        <f>I11</f>
        <v>44</v>
      </c>
      <c r="I11" s="6">
        <f>2*ROUNDUP(I9/$E11,0)</f>
        <v>44</v>
      </c>
      <c r="J11" s="6">
        <f t="shared" ref="J11:R11" si="0">2*ROUNDUP(J9/$E11,0)</f>
        <v>44</v>
      </c>
      <c r="K11" s="6">
        <f t="shared" si="0"/>
        <v>44</v>
      </c>
      <c r="L11" s="6">
        <f t="shared" si="0"/>
        <v>46</v>
      </c>
      <c r="M11" s="6">
        <f t="shared" si="0"/>
        <v>46</v>
      </c>
      <c r="N11" s="6">
        <f t="shared" si="0"/>
        <v>48</v>
      </c>
      <c r="O11" s="6">
        <f t="shared" si="0"/>
        <v>48</v>
      </c>
      <c r="P11" s="6">
        <f t="shared" si="0"/>
        <v>48</v>
      </c>
      <c r="Q11" s="6">
        <f t="shared" si="0"/>
        <v>50</v>
      </c>
      <c r="R11" s="6">
        <f t="shared" si="0"/>
        <v>50</v>
      </c>
      <c r="S11" s="6">
        <f>R11</f>
        <v>50</v>
      </c>
    </row>
    <row r="12" spans="2:19" ht="13.5" x14ac:dyDescent="0.2">
      <c r="B12" s="7"/>
      <c r="C12" s="8" t="s">
        <v>146</v>
      </c>
      <c r="D12" s="18"/>
      <c r="E12" s="8">
        <v>50</v>
      </c>
      <c r="F12" s="8" t="s">
        <v>145</v>
      </c>
      <c r="G12" s="7" t="s">
        <v>173</v>
      </c>
      <c r="H12" s="6">
        <f>I12</f>
        <v>45</v>
      </c>
      <c r="I12" s="6">
        <f>ROUNDUP(I10/$E12,0)</f>
        <v>45</v>
      </c>
      <c r="J12" s="6">
        <f t="shared" ref="J12:R12" si="1">ROUNDUP(J10/$E12,0)</f>
        <v>45</v>
      </c>
      <c r="K12" s="6">
        <f t="shared" si="1"/>
        <v>45</v>
      </c>
      <c r="L12" s="6">
        <f t="shared" si="1"/>
        <v>46</v>
      </c>
      <c r="M12" s="6">
        <f t="shared" si="1"/>
        <v>46</v>
      </c>
      <c r="N12" s="6">
        <f t="shared" si="1"/>
        <v>46</v>
      </c>
      <c r="O12" s="6">
        <f t="shared" si="1"/>
        <v>46</v>
      </c>
      <c r="P12" s="6">
        <f t="shared" si="1"/>
        <v>46</v>
      </c>
      <c r="Q12" s="6">
        <f t="shared" si="1"/>
        <v>46</v>
      </c>
      <c r="R12" s="6">
        <f t="shared" si="1"/>
        <v>46</v>
      </c>
      <c r="S12" s="6">
        <f>R12</f>
        <v>46</v>
      </c>
    </row>
    <row r="13" spans="2:19" ht="13.5" x14ac:dyDescent="0.2">
      <c r="B13" s="7"/>
      <c r="C13" s="8" t="s">
        <v>147</v>
      </c>
      <c r="D13" s="18"/>
      <c r="E13" s="8"/>
      <c r="F13" s="8"/>
      <c r="G13" s="7" t="s">
        <v>174</v>
      </c>
      <c r="H13" s="6">
        <f>SUM(H11:H12)</f>
        <v>89</v>
      </c>
      <c r="I13" s="6">
        <f t="shared" ref="I13:S13" si="2">SUM(I11:I12)</f>
        <v>89</v>
      </c>
      <c r="J13" s="6">
        <f t="shared" si="2"/>
        <v>89</v>
      </c>
      <c r="K13" s="6">
        <f t="shared" si="2"/>
        <v>89</v>
      </c>
      <c r="L13" s="6">
        <f t="shared" si="2"/>
        <v>92</v>
      </c>
      <c r="M13" s="6">
        <f t="shared" si="2"/>
        <v>92</v>
      </c>
      <c r="N13" s="6">
        <f t="shared" si="2"/>
        <v>94</v>
      </c>
      <c r="O13" s="6">
        <f t="shared" si="2"/>
        <v>94</v>
      </c>
      <c r="P13" s="6">
        <f t="shared" si="2"/>
        <v>94</v>
      </c>
      <c r="Q13" s="6">
        <f t="shared" si="2"/>
        <v>96</v>
      </c>
      <c r="R13" s="6">
        <f t="shared" si="2"/>
        <v>96</v>
      </c>
      <c r="S13" s="6">
        <f t="shared" si="2"/>
        <v>96</v>
      </c>
    </row>
    <row r="14" spans="2:19" ht="13.5" x14ac:dyDescent="0.2">
      <c r="B14" s="7"/>
      <c r="C14" s="8" t="s">
        <v>148</v>
      </c>
      <c r="D14" s="18" t="s">
        <v>419</v>
      </c>
      <c r="E14" s="8"/>
      <c r="F14" s="8"/>
      <c r="G14" s="7" t="s">
        <v>175</v>
      </c>
      <c r="H14" s="6">
        <v>28</v>
      </c>
      <c r="I14" s="6">
        <f>H14</f>
        <v>28</v>
      </c>
      <c r="J14" s="6">
        <f t="shared" ref="J14" si="3">I14</f>
        <v>28</v>
      </c>
      <c r="K14" s="6">
        <f t="shared" ref="K14" si="4">J14</f>
        <v>28</v>
      </c>
      <c r="L14" s="6">
        <f t="shared" ref="L14" si="5">K14</f>
        <v>28</v>
      </c>
      <c r="M14" s="6">
        <f t="shared" ref="M14" si="6">L14</f>
        <v>28</v>
      </c>
      <c r="N14" s="6">
        <f t="shared" ref="N14" si="7">M14</f>
        <v>28</v>
      </c>
      <c r="O14" s="6">
        <f t="shared" ref="O14" si="8">N14</f>
        <v>28</v>
      </c>
      <c r="P14" s="6">
        <f t="shared" ref="P14" si="9">O14</f>
        <v>28</v>
      </c>
      <c r="Q14" s="6">
        <f t="shared" ref="Q14" si="10">P14</f>
        <v>28</v>
      </c>
      <c r="R14" s="6">
        <f t="shared" ref="R14" si="11">Q14</f>
        <v>28</v>
      </c>
      <c r="S14" s="6">
        <f t="shared" ref="S14" si="12">R14</f>
        <v>28</v>
      </c>
    </row>
    <row r="15" spans="2:19" ht="13.5" x14ac:dyDescent="0.2">
      <c r="B15" s="7"/>
      <c r="C15" s="8" t="s">
        <v>149</v>
      </c>
      <c r="D15" s="18"/>
      <c r="E15" s="8"/>
      <c r="F15" s="8"/>
      <c r="G15" s="7" t="s">
        <v>176</v>
      </c>
      <c r="H15" s="6">
        <v>8</v>
      </c>
      <c r="I15" s="6">
        <v>8</v>
      </c>
      <c r="J15" s="6">
        <v>8</v>
      </c>
      <c r="K15" s="6">
        <v>8</v>
      </c>
      <c r="L15" s="6">
        <v>8</v>
      </c>
      <c r="M15" s="6">
        <v>8</v>
      </c>
      <c r="N15" s="6">
        <v>8</v>
      </c>
      <c r="O15" s="6">
        <v>8</v>
      </c>
      <c r="P15" s="6">
        <v>8</v>
      </c>
      <c r="Q15" s="6">
        <v>8</v>
      </c>
      <c r="R15" s="6">
        <v>8</v>
      </c>
      <c r="S15" s="6">
        <v>8</v>
      </c>
    </row>
    <row r="16" spans="2:19" ht="16.5" customHeight="1" x14ac:dyDescent="0.2">
      <c r="B16" s="7"/>
      <c r="C16" s="8" t="s">
        <v>423</v>
      </c>
      <c r="D16" s="8"/>
      <c r="E16" s="18"/>
      <c r="F16" s="8"/>
      <c r="G16" s="7" t="s">
        <v>177</v>
      </c>
      <c r="H16" s="6">
        <v>3</v>
      </c>
      <c r="I16" s="6">
        <v>12</v>
      </c>
      <c r="J16" s="6">
        <v>12</v>
      </c>
      <c r="K16" s="6">
        <v>12</v>
      </c>
      <c r="L16" s="6">
        <v>12</v>
      </c>
      <c r="M16" s="6">
        <v>12</v>
      </c>
      <c r="N16" s="6">
        <v>12</v>
      </c>
      <c r="O16" s="6">
        <v>12</v>
      </c>
      <c r="P16" s="6">
        <v>12</v>
      </c>
      <c r="Q16" s="6">
        <v>12</v>
      </c>
      <c r="R16" s="6">
        <v>12</v>
      </c>
      <c r="S16" s="1">
        <v>3</v>
      </c>
    </row>
    <row r="17" spans="2:19" ht="16.5" customHeight="1" x14ac:dyDescent="0.2">
      <c r="B17" s="7"/>
      <c r="C17" s="8" t="s">
        <v>57</v>
      </c>
      <c r="D17" s="8"/>
      <c r="E17" s="18"/>
      <c r="F17" s="8"/>
      <c r="G17" s="7" t="s">
        <v>178</v>
      </c>
      <c r="H17" s="6">
        <v>3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>
        <v>3</v>
      </c>
    </row>
    <row r="18" spans="2:19" ht="16.5" customHeight="1" x14ac:dyDescent="0.2">
      <c r="B18" s="7"/>
      <c r="C18" s="8" t="s">
        <v>44</v>
      </c>
      <c r="D18" s="8"/>
      <c r="E18" s="18"/>
      <c r="F18" s="8"/>
      <c r="G18" s="7" t="s">
        <v>179</v>
      </c>
      <c r="H18" s="6">
        <v>6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1">
        <v>3</v>
      </c>
    </row>
    <row r="19" spans="2:19" ht="27" x14ac:dyDescent="0.2">
      <c r="B19" s="7"/>
      <c r="C19" s="8" t="s">
        <v>469</v>
      </c>
      <c r="D19" s="8"/>
      <c r="E19" s="18"/>
      <c r="F19" s="8"/>
      <c r="G19" s="7" t="s">
        <v>180</v>
      </c>
      <c r="H19" s="6">
        <v>12</v>
      </c>
      <c r="I19" s="6">
        <v>12</v>
      </c>
      <c r="J19" s="6">
        <v>12</v>
      </c>
      <c r="K19" s="6">
        <v>12</v>
      </c>
      <c r="L19" s="6">
        <v>12</v>
      </c>
      <c r="M19" s="6">
        <v>12</v>
      </c>
      <c r="N19" s="6">
        <v>12</v>
      </c>
      <c r="O19" s="6">
        <v>12</v>
      </c>
      <c r="P19" s="6">
        <v>12</v>
      </c>
      <c r="Q19" s="6">
        <v>12</v>
      </c>
      <c r="R19" s="6">
        <v>12</v>
      </c>
      <c r="S19" s="1">
        <v>6</v>
      </c>
    </row>
    <row r="20" spans="2:19" ht="13.5" x14ac:dyDescent="0.2">
      <c r="B20" s="7"/>
      <c r="C20" s="8" t="s">
        <v>467</v>
      </c>
      <c r="D20" s="8"/>
      <c r="E20" s="73">
        <v>0.02</v>
      </c>
      <c r="F20" s="8"/>
      <c r="G20" s="7" t="s">
        <v>181</v>
      </c>
      <c r="H20" s="72">
        <f>(1+$E20)^(H$6-2020)</f>
        <v>1.0404</v>
      </c>
      <c r="I20" s="72">
        <f t="shared" ref="I20:S20" si="13">(1+$E20)^(I$6-2020)</f>
        <v>1.0612079999999999</v>
      </c>
      <c r="J20" s="72">
        <f t="shared" si="13"/>
        <v>1.08243216</v>
      </c>
      <c r="K20" s="72">
        <f t="shared" si="13"/>
        <v>1.1040808032</v>
      </c>
      <c r="L20" s="72">
        <f t="shared" si="13"/>
        <v>1.1261624192640001</v>
      </c>
      <c r="M20" s="72">
        <f t="shared" si="13"/>
        <v>1.1486856676492798</v>
      </c>
      <c r="N20" s="72">
        <f t="shared" si="13"/>
        <v>1.1716593810022655</v>
      </c>
      <c r="O20" s="72">
        <f t="shared" si="13"/>
        <v>1.1950925686223108</v>
      </c>
      <c r="P20" s="72">
        <f t="shared" si="13"/>
        <v>1.2189944199947571</v>
      </c>
      <c r="Q20" s="72">
        <f t="shared" si="13"/>
        <v>1.243374308394652</v>
      </c>
      <c r="R20" s="72">
        <f t="shared" si="13"/>
        <v>1.2682417945625453</v>
      </c>
      <c r="S20" s="72">
        <f t="shared" si="13"/>
        <v>1.2936066304537961</v>
      </c>
    </row>
    <row r="21" spans="2:19" ht="27" x14ac:dyDescent="0.2">
      <c r="B21" s="7"/>
      <c r="C21" s="8" t="s">
        <v>45</v>
      </c>
      <c r="D21" s="8" t="s">
        <v>46</v>
      </c>
      <c r="E21" s="19">
        <v>0.15</v>
      </c>
      <c r="F21" s="20">
        <v>1.2</v>
      </c>
      <c r="G21" s="7" t="s">
        <v>424</v>
      </c>
      <c r="H21" s="6">
        <f>E21*F21*I8</f>
        <v>43525365.305052295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1"/>
    </row>
    <row r="22" spans="2:19" ht="13.5" x14ac:dyDescent="0.2">
      <c r="B22" s="7"/>
      <c r="C22" s="8" t="s">
        <v>166</v>
      </c>
      <c r="D22" s="8"/>
      <c r="E22" s="8"/>
      <c r="F22" s="8"/>
      <c r="G22" s="7" t="s">
        <v>425</v>
      </c>
      <c r="H22" s="29"/>
      <c r="I22" s="30">
        <v>0.05</v>
      </c>
      <c r="J22" s="30">
        <v>0.1</v>
      </c>
      <c r="K22" s="30">
        <v>0.2</v>
      </c>
      <c r="L22" s="30">
        <v>0.3</v>
      </c>
      <c r="M22" s="30">
        <v>0.4</v>
      </c>
      <c r="N22" s="30">
        <v>0.5</v>
      </c>
      <c r="O22" s="30">
        <v>0.55000000000000004</v>
      </c>
      <c r="P22" s="30">
        <v>0.6</v>
      </c>
      <c r="Q22" s="30">
        <v>0.625</v>
      </c>
      <c r="R22" s="30">
        <v>0.63</v>
      </c>
      <c r="S22" s="29"/>
    </row>
    <row r="23" spans="2:19" ht="13.5" x14ac:dyDescent="0.2">
      <c r="B23" s="7"/>
      <c r="C23" s="8" t="s">
        <v>167</v>
      </c>
      <c r="D23" s="8"/>
      <c r="E23" s="8"/>
      <c r="F23" s="8"/>
      <c r="G23" s="7" t="s">
        <v>426</v>
      </c>
      <c r="H23" s="29"/>
      <c r="I23" s="6">
        <f t="shared" ref="I23:S23" si="14">I8*I22</f>
        <v>12090379.251403417</v>
      </c>
      <c r="J23" s="6">
        <f t="shared" si="14"/>
        <v>24610101.380952597</v>
      </c>
      <c r="K23" s="6">
        <f t="shared" si="14"/>
        <v>50111042.48233296</v>
      </c>
      <c r="L23" s="6">
        <f t="shared" si="14"/>
        <v>76821717.036932305</v>
      </c>
      <c r="M23" s="6">
        <f t="shared" si="14"/>
        <v>104009521.58642876</v>
      </c>
      <c r="N23" s="6">
        <f t="shared" si="14"/>
        <v>132069670.28702182</v>
      </c>
      <c r="O23" s="6">
        <f t="shared" si="14"/>
        <v>148194779.19239599</v>
      </c>
      <c r="P23" s="6">
        <f t="shared" si="14"/>
        <v>163714687.4335818</v>
      </c>
      <c r="Q23" s="6">
        <f t="shared" si="14"/>
        <v>172525214.11851093</v>
      </c>
      <c r="R23" s="6">
        <f t="shared" si="14"/>
        <v>175041500.54696253</v>
      </c>
      <c r="S23" s="6">
        <f t="shared" si="14"/>
        <v>0</v>
      </c>
    </row>
    <row r="24" spans="2:19" ht="13.5" x14ac:dyDescent="0.2">
      <c r="B24" s="7"/>
      <c r="C24" s="8" t="s">
        <v>202</v>
      </c>
      <c r="D24" s="8"/>
      <c r="E24" s="8"/>
      <c r="F24" s="8"/>
      <c r="G24" s="7" t="s">
        <v>427</v>
      </c>
      <c r="H24" s="29"/>
      <c r="I24" s="6">
        <f t="shared" ref="I24:R24" si="15">I8-I23</f>
        <v>229717205.77666491</v>
      </c>
      <c r="J24" s="6">
        <f t="shared" si="15"/>
        <v>221490912.42857334</v>
      </c>
      <c r="K24" s="6">
        <f t="shared" si="15"/>
        <v>200444169.92933184</v>
      </c>
      <c r="L24" s="6">
        <f t="shared" si="15"/>
        <v>179250673.08617538</v>
      </c>
      <c r="M24" s="6">
        <f t="shared" si="15"/>
        <v>156014282.37964311</v>
      </c>
      <c r="N24" s="6">
        <f t="shared" si="15"/>
        <v>132069670.28702182</v>
      </c>
      <c r="O24" s="6">
        <f t="shared" si="15"/>
        <v>121250273.8846876</v>
      </c>
      <c r="P24" s="6">
        <f t="shared" si="15"/>
        <v>109143124.95572123</v>
      </c>
      <c r="Q24" s="6">
        <f t="shared" si="15"/>
        <v>103515128.47110656</v>
      </c>
      <c r="R24" s="6">
        <f t="shared" si="15"/>
        <v>102802151.11488274</v>
      </c>
      <c r="S24" s="6">
        <f>S16*S23</f>
        <v>0</v>
      </c>
    </row>
    <row r="26" spans="2:19" ht="15.75" thickBot="1" x14ac:dyDescent="0.3">
      <c r="B26" s="22" t="s">
        <v>201</v>
      </c>
      <c r="C26" s="23"/>
      <c r="G26"/>
    </row>
    <row r="27" spans="2:19" ht="26.25" customHeight="1" x14ac:dyDescent="0.2">
      <c r="B27" s="79" t="s">
        <v>443</v>
      </c>
      <c r="C27" s="79"/>
      <c r="D27" s="79"/>
      <c r="H27" s="79" t="s">
        <v>444</v>
      </c>
      <c r="I27" s="79"/>
      <c r="J27" s="79"/>
      <c r="K27" s="79"/>
    </row>
    <row r="28" spans="2:19" ht="40.5" x14ac:dyDescent="0.2">
      <c r="B28" s="4" t="s">
        <v>0</v>
      </c>
      <c r="C28" s="5" t="s">
        <v>1</v>
      </c>
      <c r="D28" s="5" t="s">
        <v>2</v>
      </c>
      <c r="E28" s="5" t="s">
        <v>3</v>
      </c>
      <c r="F28" s="5" t="s">
        <v>33</v>
      </c>
      <c r="G28" s="4" t="s">
        <v>35</v>
      </c>
      <c r="H28" s="4">
        <v>2022</v>
      </c>
      <c r="I28" s="4">
        <v>2023</v>
      </c>
      <c r="J28" s="4">
        <v>2024</v>
      </c>
      <c r="K28" s="4">
        <v>2025</v>
      </c>
      <c r="L28" s="4">
        <v>2026</v>
      </c>
      <c r="M28" s="4">
        <v>2027</v>
      </c>
      <c r="N28" s="4">
        <v>2028</v>
      </c>
      <c r="O28" s="4">
        <v>2029</v>
      </c>
      <c r="P28" s="4">
        <v>2030</v>
      </c>
      <c r="Q28" s="4">
        <v>2031</v>
      </c>
      <c r="R28" s="4">
        <v>2032</v>
      </c>
      <c r="S28" s="4">
        <v>2033</v>
      </c>
    </row>
    <row r="29" spans="2:19" ht="27" x14ac:dyDescent="0.2">
      <c r="B29" s="7" t="s">
        <v>22</v>
      </c>
      <c r="C29" s="8" t="s">
        <v>4</v>
      </c>
      <c r="D29" s="8" t="s">
        <v>5</v>
      </c>
      <c r="E29" s="8" t="s">
        <v>56</v>
      </c>
      <c r="F29" s="9">
        <v>6.8000000000000005E-2</v>
      </c>
      <c r="G29" s="7" t="s">
        <v>427</v>
      </c>
      <c r="H29" s="6">
        <f>$F29*H24</f>
        <v>0</v>
      </c>
      <c r="I29" s="6">
        <f t="shared" ref="I29:S29" si="16">$F29*I24</f>
        <v>15620769.992813215</v>
      </c>
      <c r="J29" s="6">
        <f t="shared" si="16"/>
        <v>15061382.045142988</v>
      </c>
      <c r="K29" s="6">
        <f t="shared" si="16"/>
        <v>13630203.555194566</v>
      </c>
      <c r="L29" s="6">
        <f t="shared" si="16"/>
        <v>12189045.769859927</v>
      </c>
      <c r="M29" s="6">
        <f t="shared" si="16"/>
        <v>10608971.201815732</v>
      </c>
      <c r="N29" s="6">
        <f t="shared" si="16"/>
        <v>8980737.5795174837</v>
      </c>
      <c r="O29" s="6">
        <f t="shared" si="16"/>
        <v>8245018.6241587577</v>
      </c>
      <c r="P29" s="6">
        <f t="shared" si="16"/>
        <v>7421732.4969890444</v>
      </c>
      <c r="Q29" s="6">
        <f t="shared" si="16"/>
        <v>7039028.7360352464</v>
      </c>
      <c r="R29" s="6">
        <f t="shared" si="16"/>
        <v>6990546.275812027</v>
      </c>
      <c r="S29" s="6">
        <f t="shared" si="16"/>
        <v>0</v>
      </c>
    </row>
    <row r="30" spans="2:19" ht="13.5" x14ac:dyDescent="0.2">
      <c r="B30" s="7" t="s">
        <v>23</v>
      </c>
      <c r="C30" s="8" t="s">
        <v>420</v>
      </c>
      <c r="D30" s="8" t="s">
        <v>7</v>
      </c>
      <c r="E30" s="8" t="s">
        <v>55</v>
      </c>
      <c r="F30" s="16">
        <v>420</v>
      </c>
      <c r="G30" s="7" t="s">
        <v>431</v>
      </c>
      <c r="H30" s="6">
        <f t="shared" ref="H30:S30" si="17">$F30*H13*H$16</f>
        <v>112140</v>
      </c>
      <c r="I30" s="6">
        <f t="shared" si="17"/>
        <v>448560</v>
      </c>
      <c r="J30" s="6">
        <f t="shared" si="17"/>
        <v>448560</v>
      </c>
      <c r="K30" s="6">
        <f t="shared" si="17"/>
        <v>448560</v>
      </c>
      <c r="L30" s="6">
        <f t="shared" si="17"/>
        <v>463680</v>
      </c>
      <c r="M30" s="6">
        <f t="shared" si="17"/>
        <v>463680</v>
      </c>
      <c r="N30" s="6">
        <f t="shared" si="17"/>
        <v>473760</v>
      </c>
      <c r="O30" s="6">
        <f t="shared" si="17"/>
        <v>473760</v>
      </c>
      <c r="P30" s="6">
        <f t="shared" si="17"/>
        <v>473760</v>
      </c>
      <c r="Q30" s="6">
        <f t="shared" si="17"/>
        <v>483840</v>
      </c>
      <c r="R30" s="6">
        <f t="shared" si="17"/>
        <v>483840</v>
      </c>
      <c r="S30" s="6">
        <f t="shared" si="17"/>
        <v>120960</v>
      </c>
    </row>
    <row r="31" spans="2:19" ht="13.5" x14ac:dyDescent="0.2">
      <c r="B31" s="7" t="s">
        <v>24</v>
      </c>
      <c r="C31" s="8" t="s">
        <v>421</v>
      </c>
      <c r="D31" s="8" t="s">
        <v>9</v>
      </c>
      <c r="E31" s="8" t="s">
        <v>55</v>
      </c>
      <c r="F31" s="16">
        <v>840</v>
      </c>
      <c r="G31" s="7" t="s">
        <v>432</v>
      </c>
      <c r="H31" s="6">
        <f t="shared" ref="H31:S31" si="18">$F31*H14*H$16</f>
        <v>70560</v>
      </c>
      <c r="I31" s="6">
        <f t="shared" si="18"/>
        <v>282240</v>
      </c>
      <c r="J31" s="6">
        <f t="shared" si="18"/>
        <v>282240</v>
      </c>
      <c r="K31" s="6">
        <f t="shared" si="18"/>
        <v>282240</v>
      </c>
      <c r="L31" s="6">
        <f t="shared" si="18"/>
        <v>282240</v>
      </c>
      <c r="M31" s="6">
        <f t="shared" si="18"/>
        <v>282240</v>
      </c>
      <c r="N31" s="6">
        <f t="shared" si="18"/>
        <v>282240</v>
      </c>
      <c r="O31" s="6">
        <f t="shared" si="18"/>
        <v>282240</v>
      </c>
      <c r="P31" s="6">
        <f t="shared" si="18"/>
        <v>282240</v>
      </c>
      <c r="Q31" s="6">
        <f t="shared" si="18"/>
        <v>282240</v>
      </c>
      <c r="R31" s="6">
        <f t="shared" si="18"/>
        <v>282240</v>
      </c>
      <c r="S31" s="6">
        <f t="shared" si="18"/>
        <v>70560</v>
      </c>
    </row>
    <row r="32" spans="2:19" ht="13.5" x14ac:dyDescent="0.2">
      <c r="B32" s="7" t="s">
        <v>25</v>
      </c>
      <c r="C32" s="8" t="s">
        <v>422</v>
      </c>
      <c r="D32" s="8" t="s">
        <v>11</v>
      </c>
      <c r="E32" s="8" t="s">
        <v>55</v>
      </c>
      <c r="F32" s="16">
        <v>2500</v>
      </c>
      <c r="G32" s="7" t="s">
        <v>433</v>
      </c>
      <c r="H32" s="6">
        <f t="shared" ref="H32:S32" si="19">$F32*H15*H$16</f>
        <v>60000</v>
      </c>
      <c r="I32" s="6">
        <f t="shared" si="19"/>
        <v>240000</v>
      </c>
      <c r="J32" s="6">
        <f t="shared" si="19"/>
        <v>240000</v>
      </c>
      <c r="K32" s="6">
        <f t="shared" si="19"/>
        <v>240000</v>
      </c>
      <c r="L32" s="6">
        <f t="shared" si="19"/>
        <v>240000</v>
      </c>
      <c r="M32" s="6">
        <f t="shared" si="19"/>
        <v>240000</v>
      </c>
      <c r="N32" s="6">
        <f t="shared" si="19"/>
        <v>240000</v>
      </c>
      <c r="O32" s="6">
        <f t="shared" si="19"/>
        <v>240000</v>
      </c>
      <c r="P32" s="6">
        <f t="shared" si="19"/>
        <v>240000</v>
      </c>
      <c r="Q32" s="6">
        <f t="shared" si="19"/>
        <v>240000</v>
      </c>
      <c r="R32" s="6">
        <f t="shared" si="19"/>
        <v>240000</v>
      </c>
      <c r="S32" s="6">
        <f t="shared" si="19"/>
        <v>60000</v>
      </c>
    </row>
    <row r="33" spans="2:19" ht="13.5" x14ac:dyDescent="0.2">
      <c r="B33" s="7" t="s">
        <v>26</v>
      </c>
      <c r="C33" s="8" t="s">
        <v>6</v>
      </c>
      <c r="D33" s="8" t="s">
        <v>7</v>
      </c>
      <c r="E33" s="8" t="s">
        <v>55</v>
      </c>
      <c r="F33" s="16">
        <v>350</v>
      </c>
      <c r="G33" s="7" t="s">
        <v>434</v>
      </c>
      <c r="H33" s="6">
        <f t="shared" ref="H33:S33" si="20">$F33*H13*H$17</f>
        <v>93450</v>
      </c>
      <c r="I33" s="6">
        <f t="shared" si="20"/>
        <v>0</v>
      </c>
      <c r="J33" s="6">
        <f t="shared" si="20"/>
        <v>0</v>
      </c>
      <c r="K33" s="6">
        <f t="shared" si="20"/>
        <v>0</v>
      </c>
      <c r="L33" s="6">
        <f t="shared" si="20"/>
        <v>0</v>
      </c>
      <c r="M33" s="6">
        <f t="shared" si="20"/>
        <v>0</v>
      </c>
      <c r="N33" s="6">
        <f t="shared" si="20"/>
        <v>0</v>
      </c>
      <c r="O33" s="6">
        <f t="shared" si="20"/>
        <v>0</v>
      </c>
      <c r="P33" s="6">
        <f t="shared" si="20"/>
        <v>0</v>
      </c>
      <c r="Q33" s="6">
        <f t="shared" si="20"/>
        <v>0</v>
      </c>
      <c r="R33" s="6">
        <f t="shared" si="20"/>
        <v>0</v>
      </c>
      <c r="S33" s="6">
        <f t="shared" si="20"/>
        <v>100800</v>
      </c>
    </row>
    <row r="34" spans="2:19" ht="13.5" x14ac:dyDescent="0.2">
      <c r="B34" s="7" t="s">
        <v>27</v>
      </c>
      <c r="C34" s="8" t="s">
        <v>8</v>
      </c>
      <c r="D34" s="8" t="s">
        <v>9</v>
      </c>
      <c r="E34" s="8" t="s">
        <v>55</v>
      </c>
      <c r="F34" s="16">
        <v>700</v>
      </c>
      <c r="G34" s="7" t="s">
        <v>435</v>
      </c>
      <c r="H34" s="6">
        <f t="shared" ref="H34:S34" si="21">$F34*H14*H$17</f>
        <v>58800</v>
      </c>
      <c r="I34" s="6">
        <f t="shared" si="21"/>
        <v>0</v>
      </c>
      <c r="J34" s="6">
        <f t="shared" si="21"/>
        <v>0</v>
      </c>
      <c r="K34" s="6">
        <f t="shared" si="21"/>
        <v>0</v>
      </c>
      <c r="L34" s="6">
        <f t="shared" si="21"/>
        <v>0</v>
      </c>
      <c r="M34" s="6">
        <f t="shared" si="21"/>
        <v>0</v>
      </c>
      <c r="N34" s="6">
        <f t="shared" si="21"/>
        <v>0</v>
      </c>
      <c r="O34" s="6">
        <f t="shared" si="21"/>
        <v>0</v>
      </c>
      <c r="P34" s="6">
        <f t="shared" si="21"/>
        <v>0</v>
      </c>
      <c r="Q34" s="6">
        <f t="shared" si="21"/>
        <v>0</v>
      </c>
      <c r="R34" s="6">
        <f t="shared" si="21"/>
        <v>0</v>
      </c>
      <c r="S34" s="6">
        <f t="shared" si="21"/>
        <v>58800</v>
      </c>
    </row>
    <row r="35" spans="2:19" ht="13.5" x14ac:dyDescent="0.2">
      <c r="B35" s="7" t="s">
        <v>28</v>
      </c>
      <c r="C35" s="8" t="s">
        <v>10</v>
      </c>
      <c r="D35" s="8" t="s">
        <v>11</v>
      </c>
      <c r="E35" s="8" t="s">
        <v>55</v>
      </c>
      <c r="F35" s="16">
        <v>2000</v>
      </c>
      <c r="G35" s="7" t="s">
        <v>436</v>
      </c>
      <c r="H35" s="6">
        <f t="shared" ref="H35:S35" si="22">$F35*H15*H$17</f>
        <v>48000</v>
      </c>
      <c r="I35" s="6">
        <f t="shared" si="22"/>
        <v>0</v>
      </c>
      <c r="J35" s="6">
        <f t="shared" si="22"/>
        <v>0</v>
      </c>
      <c r="K35" s="6">
        <f t="shared" si="22"/>
        <v>0</v>
      </c>
      <c r="L35" s="6">
        <f t="shared" si="22"/>
        <v>0</v>
      </c>
      <c r="M35" s="6">
        <f t="shared" si="22"/>
        <v>0</v>
      </c>
      <c r="N35" s="6">
        <f t="shared" si="22"/>
        <v>0</v>
      </c>
      <c r="O35" s="6">
        <f t="shared" si="22"/>
        <v>0</v>
      </c>
      <c r="P35" s="6">
        <f t="shared" si="22"/>
        <v>0</v>
      </c>
      <c r="Q35" s="6">
        <f t="shared" si="22"/>
        <v>0</v>
      </c>
      <c r="R35" s="6">
        <f t="shared" si="22"/>
        <v>0</v>
      </c>
      <c r="S35" s="6">
        <f t="shared" si="22"/>
        <v>48000</v>
      </c>
    </row>
    <row r="36" spans="2:19" ht="13.5" x14ac:dyDescent="0.2">
      <c r="B36" s="7" t="s">
        <v>29</v>
      </c>
      <c r="C36" s="8" t="s">
        <v>12</v>
      </c>
      <c r="D36" s="8" t="s">
        <v>13</v>
      </c>
      <c r="E36" s="8" t="s">
        <v>55</v>
      </c>
      <c r="F36" s="16">
        <v>38000</v>
      </c>
      <c r="G36" s="7" t="s">
        <v>178</v>
      </c>
      <c r="H36" s="6">
        <f t="shared" ref="H36:S36" si="23">$F36*H17</f>
        <v>114000</v>
      </c>
      <c r="I36" s="6">
        <f t="shared" si="23"/>
        <v>0</v>
      </c>
      <c r="J36" s="6">
        <f t="shared" si="23"/>
        <v>0</v>
      </c>
      <c r="K36" s="6">
        <f t="shared" si="23"/>
        <v>0</v>
      </c>
      <c r="L36" s="6">
        <f t="shared" si="23"/>
        <v>0</v>
      </c>
      <c r="M36" s="6">
        <f t="shared" si="23"/>
        <v>0</v>
      </c>
      <c r="N36" s="6">
        <f t="shared" si="23"/>
        <v>0</v>
      </c>
      <c r="O36" s="6">
        <f t="shared" si="23"/>
        <v>0</v>
      </c>
      <c r="P36" s="6">
        <f t="shared" si="23"/>
        <v>0</v>
      </c>
      <c r="Q36" s="6">
        <f t="shared" si="23"/>
        <v>0</v>
      </c>
      <c r="R36" s="6">
        <f t="shared" si="23"/>
        <v>0</v>
      </c>
      <c r="S36" s="6">
        <f t="shared" si="23"/>
        <v>114000</v>
      </c>
    </row>
    <row r="37" spans="2:19" ht="27" x14ac:dyDescent="0.2">
      <c r="B37" s="7" t="s">
        <v>30</v>
      </c>
      <c r="C37" s="8" t="s">
        <v>14</v>
      </c>
      <c r="D37" s="8" t="s">
        <v>13</v>
      </c>
      <c r="E37" s="8" t="s">
        <v>55</v>
      </c>
      <c r="F37" s="16">
        <v>24500</v>
      </c>
      <c r="G37" s="7" t="s">
        <v>178</v>
      </c>
      <c r="H37" s="6">
        <f t="shared" ref="H37:S37" si="24">$F37*H17</f>
        <v>73500</v>
      </c>
      <c r="I37" s="6">
        <f t="shared" si="24"/>
        <v>0</v>
      </c>
      <c r="J37" s="6">
        <f t="shared" si="24"/>
        <v>0</v>
      </c>
      <c r="K37" s="6">
        <f t="shared" si="24"/>
        <v>0</v>
      </c>
      <c r="L37" s="6">
        <f t="shared" si="24"/>
        <v>0</v>
      </c>
      <c r="M37" s="6">
        <f t="shared" si="24"/>
        <v>0</v>
      </c>
      <c r="N37" s="6">
        <f t="shared" si="24"/>
        <v>0</v>
      </c>
      <c r="O37" s="6">
        <f t="shared" si="24"/>
        <v>0</v>
      </c>
      <c r="P37" s="6">
        <f t="shared" si="24"/>
        <v>0</v>
      </c>
      <c r="Q37" s="6">
        <f t="shared" si="24"/>
        <v>0</v>
      </c>
      <c r="R37" s="6">
        <f t="shared" si="24"/>
        <v>0</v>
      </c>
      <c r="S37" s="6">
        <f t="shared" si="24"/>
        <v>73500</v>
      </c>
    </row>
    <row r="38" spans="2:19" ht="13.5" x14ac:dyDescent="0.2">
      <c r="B38" s="7" t="s">
        <v>31</v>
      </c>
      <c r="C38" s="8" t="s">
        <v>15</v>
      </c>
      <c r="D38" s="8" t="s">
        <v>13</v>
      </c>
      <c r="E38" s="8" t="s">
        <v>55</v>
      </c>
      <c r="F38" s="16">
        <v>40000</v>
      </c>
      <c r="G38" s="7" t="s">
        <v>179</v>
      </c>
      <c r="H38" s="6">
        <f>$F38*H18</f>
        <v>240000</v>
      </c>
      <c r="I38" s="6">
        <f t="shared" ref="I38:S38" si="25">$F38*I18</f>
        <v>0</v>
      </c>
      <c r="J38" s="6">
        <f t="shared" si="25"/>
        <v>0</v>
      </c>
      <c r="K38" s="6">
        <f t="shared" si="25"/>
        <v>0</v>
      </c>
      <c r="L38" s="6">
        <f t="shared" si="25"/>
        <v>0</v>
      </c>
      <c r="M38" s="6">
        <f t="shared" si="25"/>
        <v>0</v>
      </c>
      <c r="N38" s="6">
        <f t="shared" si="25"/>
        <v>0</v>
      </c>
      <c r="O38" s="6">
        <f t="shared" si="25"/>
        <v>0</v>
      </c>
      <c r="P38" s="6">
        <f t="shared" si="25"/>
        <v>0</v>
      </c>
      <c r="Q38" s="6">
        <f t="shared" si="25"/>
        <v>0</v>
      </c>
      <c r="R38" s="6">
        <f t="shared" si="25"/>
        <v>0</v>
      </c>
      <c r="S38" s="6">
        <f t="shared" si="25"/>
        <v>120000</v>
      </c>
    </row>
    <row r="39" spans="2:19" ht="27" x14ac:dyDescent="0.2">
      <c r="B39" s="7" t="s">
        <v>32</v>
      </c>
      <c r="C39" s="8" t="s">
        <v>16</v>
      </c>
      <c r="D39" s="8" t="s">
        <v>13</v>
      </c>
      <c r="E39" s="8" t="s">
        <v>55</v>
      </c>
      <c r="F39" s="16">
        <v>46400</v>
      </c>
      <c r="G39" s="7" t="s">
        <v>178</v>
      </c>
      <c r="H39" s="6">
        <f t="shared" ref="H39:S39" si="26">$F39*H17</f>
        <v>139200</v>
      </c>
      <c r="I39" s="6">
        <f t="shared" si="26"/>
        <v>0</v>
      </c>
      <c r="J39" s="6">
        <f t="shared" si="26"/>
        <v>0</v>
      </c>
      <c r="K39" s="6">
        <f t="shared" si="26"/>
        <v>0</v>
      </c>
      <c r="L39" s="6">
        <f t="shared" si="26"/>
        <v>0</v>
      </c>
      <c r="M39" s="6">
        <f t="shared" si="26"/>
        <v>0</v>
      </c>
      <c r="N39" s="6">
        <f t="shared" si="26"/>
        <v>0</v>
      </c>
      <c r="O39" s="6">
        <f t="shared" si="26"/>
        <v>0</v>
      </c>
      <c r="P39" s="6">
        <f t="shared" si="26"/>
        <v>0</v>
      </c>
      <c r="Q39" s="6">
        <f t="shared" si="26"/>
        <v>0</v>
      </c>
      <c r="R39" s="6">
        <f t="shared" si="26"/>
        <v>0</v>
      </c>
      <c r="S39" s="6">
        <f t="shared" si="26"/>
        <v>139200</v>
      </c>
    </row>
    <row r="40" spans="2:19" ht="27" x14ac:dyDescent="0.2">
      <c r="B40" s="7" t="s">
        <v>203</v>
      </c>
      <c r="C40" s="8" t="s">
        <v>17</v>
      </c>
      <c r="D40" s="8" t="s">
        <v>18</v>
      </c>
      <c r="E40" s="8" t="s">
        <v>54</v>
      </c>
      <c r="F40" s="9">
        <v>2.75E-2</v>
      </c>
      <c r="G40" s="7" t="s">
        <v>424</v>
      </c>
      <c r="H40" s="6">
        <f>$F40*H21</f>
        <v>1196947.5458889382</v>
      </c>
      <c r="I40" s="6">
        <f t="shared" ref="I40:S40" si="27">$F40*I21</f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7"/>
        <v>0</v>
      </c>
      <c r="Q40" s="6">
        <f t="shared" si="27"/>
        <v>0</v>
      </c>
      <c r="R40" s="6">
        <f t="shared" si="27"/>
        <v>0</v>
      </c>
      <c r="S40" s="6">
        <f t="shared" si="27"/>
        <v>0</v>
      </c>
    </row>
    <row r="41" spans="2:19" ht="27" x14ac:dyDescent="0.2">
      <c r="B41" s="7" t="s">
        <v>428</v>
      </c>
      <c r="C41" s="8" t="s">
        <v>465</v>
      </c>
      <c r="D41" s="8" t="s">
        <v>466</v>
      </c>
      <c r="E41" s="27" t="s">
        <v>468</v>
      </c>
      <c r="F41" s="16">
        <f>'[2]Zákaznícke služby (alt.1)'!$G$13</f>
        <v>17331</v>
      </c>
      <c r="G41" s="7" t="s">
        <v>470</v>
      </c>
      <c r="H41" s="6">
        <f>$F41*H$20*H$19</f>
        <v>216374.06880000001</v>
      </c>
      <c r="I41" s="6">
        <f t="shared" ref="I41:S41" si="28">$F41*I$20*I$19</f>
        <v>220701.55017599999</v>
      </c>
      <c r="J41" s="6">
        <f t="shared" si="28"/>
        <v>225115.58117952</v>
      </c>
      <c r="K41" s="6">
        <f t="shared" si="28"/>
        <v>229617.89280311042</v>
      </c>
      <c r="L41" s="6">
        <f t="shared" si="28"/>
        <v>234210.25065917263</v>
      </c>
      <c r="M41" s="6">
        <f t="shared" si="28"/>
        <v>238894.45567235601</v>
      </c>
      <c r="N41" s="6">
        <f t="shared" si="28"/>
        <v>243672.34478580314</v>
      </c>
      <c r="O41" s="6">
        <f t="shared" si="28"/>
        <v>248545.79168151921</v>
      </c>
      <c r="P41" s="6">
        <f t="shared" si="28"/>
        <v>253516.70751514964</v>
      </c>
      <c r="Q41" s="6">
        <f t="shared" si="28"/>
        <v>258587.04166545259</v>
      </c>
      <c r="R41" s="6">
        <f t="shared" si="28"/>
        <v>263758.78249876166</v>
      </c>
      <c r="S41" s="6">
        <f t="shared" si="28"/>
        <v>134516.97907436843</v>
      </c>
    </row>
    <row r="42" spans="2:19" ht="27.75" customHeight="1" x14ac:dyDescent="0.2">
      <c r="B42" s="7" t="s">
        <v>429</v>
      </c>
      <c r="C42" s="8" t="s">
        <v>21</v>
      </c>
      <c r="D42" s="8" t="s">
        <v>13</v>
      </c>
      <c r="E42" s="8" t="s">
        <v>47</v>
      </c>
      <c r="F42" s="16">
        <v>80000</v>
      </c>
      <c r="G42" s="7" t="s">
        <v>177</v>
      </c>
      <c r="H42" s="6">
        <f t="shared" ref="H42:S42" si="29">$F42*H16</f>
        <v>240000</v>
      </c>
      <c r="I42" s="6">
        <f t="shared" si="29"/>
        <v>960000</v>
      </c>
      <c r="J42" s="6">
        <f t="shared" si="29"/>
        <v>960000</v>
      </c>
      <c r="K42" s="6">
        <f t="shared" si="29"/>
        <v>960000</v>
      </c>
      <c r="L42" s="6">
        <f t="shared" si="29"/>
        <v>960000</v>
      </c>
      <c r="M42" s="6">
        <f t="shared" si="29"/>
        <v>960000</v>
      </c>
      <c r="N42" s="6">
        <f t="shared" si="29"/>
        <v>960000</v>
      </c>
      <c r="O42" s="6">
        <f t="shared" si="29"/>
        <v>960000</v>
      </c>
      <c r="P42" s="6">
        <f t="shared" si="29"/>
        <v>960000</v>
      </c>
      <c r="Q42" s="6">
        <f t="shared" si="29"/>
        <v>960000</v>
      </c>
      <c r="R42" s="6">
        <f t="shared" si="29"/>
        <v>960000</v>
      </c>
      <c r="S42" s="6">
        <f t="shared" si="29"/>
        <v>240000</v>
      </c>
    </row>
    <row r="43" spans="2:19" ht="27.75" customHeight="1" x14ac:dyDescent="0.2">
      <c r="B43" s="7" t="s">
        <v>430</v>
      </c>
      <c r="C43" s="8" t="s">
        <v>100</v>
      </c>
      <c r="D43" s="8" t="s">
        <v>5</v>
      </c>
      <c r="E43" s="8" t="s">
        <v>56</v>
      </c>
      <c r="F43" s="9">
        <v>6.8000000000000005E-2</v>
      </c>
      <c r="G43" s="7" t="s">
        <v>426</v>
      </c>
      <c r="H43" s="6">
        <f>$F43*H23</f>
        <v>0</v>
      </c>
      <c r="I43" s="6">
        <f t="shared" ref="I43:S43" si="30">$F43*I23</f>
        <v>822145.7890954325</v>
      </c>
      <c r="J43" s="6">
        <f t="shared" si="30"/>
        <v>1673486.8939047768</v>
      </c>
      <c r="K43" s="6">
        <f t="shared" si="30"/>
        <v>3407550.8887986415</v>
      </c>
      <c r="L43" s="6">
        <f t="shared" si="30"/>
        <v>5223876.7585113971</v>
      </c>
      <c r="M43" s="6">
        <f t="shared" si="30"/>
        <v>7072647.4678771561</v>
      </c>
      <c r="N43" s="6">
        <f t="shared" si="30"/>
        <v>8980737.5795174837</v>
      </c>
      <c r="O43" s="6">
        <f t="shared" si="30"/>
        <v>10077244.985082928</v>
      </c>
      <c r="P43" s="6">
        <f t="shared" si="30"/>
        <v>11132598.745483562</v>
      </c>
      <c r="Q43" s="6">
        <f t="shared" si="30"/>
        <v>11731714.560058745</v>
      </c>
      <c r="R43" s="6">
        <f t="shared" si="30"/>
        <v>11902822.037193453</v>
      </c>
      <c r="S43" s="6">
        <f t="shared" si="30"/>
        <v>0</v>
      </c>
    </row>
    <row r="44" spans="2:19" ht="13.5" x14ac:dyDescent="0.2">
      <c r="B44" s="4"/>
      <c r="C44" s="5" t="s">
        <v>58</v>
      </c>
      <c r="D44" s="5"/>
      <c r="E44" s="5"/>
      <c r="F44" s="5"/>
      <c r="G44" s="4"/>
      <c r="H44" s="24">
        <f>SUM(H29:H43)</f>
        <v>2662971.614688938</v>
      </c>
      <c r="I44" s="24">
        <f t="shared" ref="I44:S44" si="31">SUM(I29:I43)</f>
        <v>18594417.332084645</v>
      </c>
      <c r="J44" s="24">
        <f t="shared" si="31"/>
        <v>18890784.520227283</v>
      </c>
      <c r="K44" s="24">
        <f t="shared" si="31"/>
        <v>19198172.336796317</v>
      </c>
      <c r="L44" s="24">
        <f t="shared" si="31"/>
        <v>19593052.779030498</v>
      </c>
      <c r="M44" s="24">
        <f t="shared" si="31"/>
        <v>19866433.125365242</v>
      </c>
      <c r="N44" s="24">
        <f t="shared" si="31"/>
        <v>20161147.503820769</v>
      </c>
      <c r="O44" s="24">
        <f t="shared" si="31"/>
        <v>20526809.400923207</v>
      </c>
      <c r="P44" s="24">
        <f t="shared" si="31"/>
        <v>20763847.949987758</v>
      </c>
      <c r="Q44" s="24">
        <f t="shared" si="31"/>
        <v>20995410.337759443</v>
      </c>
      <c r="R44" s="24">
        <f t="shared" si="31"/>
        <v>21123207.095504239</v>
      </c>
      <c r="S44" s="24">
        <f t="shared" si="31"/>
        <v>1280336.9790743685</v>
      </c>
    </row>
    <row r="45" spans="2:19" ht="13.5" x14ac:dyDescent="0.2">
      <c r="B45" s="4"/>
      <c r="C45" s="5" t="s">
        <v>410</v>
      </c>
      <c r="D45" s="5" t="s">
        <v>411</v>
      </c>
      <c r="E45" s="5"/>
      <c r="F45" s="62">
        <v>0.04</v>
      </c>
      <c r="G45" s="4"/>
      <c r="H45" s="24">
        <f>H44/((1+$F$45)^(H28-2020))</f>
        <v>2462066.951450571</v>
      </c>
      <c r="I45" s="24">
        <f t="shared" ref="I45:S45" si="32">I44/((1+$F$45)^(I28-2020))</f>
        <v>16530369.299830595</v>
      </c>
      <c r="J45" s="24">
        <f t="shared" si="32"/>
        <v>16147921.779729748</v>
      </c>
      <c r="K45" s="24">
        <f t="shared" si="32"/>
        <v>15779498.243850416</v>
      </c>
      <c r="L45" s="24">
        <f t="shared" si="32"/>
        <v>15484674.214665202</v>
      </c>
      <c r="M45" s="24">
        <f t="shared" si="32"/>
        <v>15096856.416752586</v>
      </c>
      <c r="N45" s="24">
        <f t="shared" si="32"/>
        <v>14731553.002642032</v>
      </c>
      <c r="O45" s="24">
        <f t="shared" si="32"/>
        <v>14421864.008843485</v>
      </c>
      <c r="P45" s="24">
        <f t="shared" si="32"/>
        <v>14027311.681958741</v>
      </c>
      <c r="Q45" s="24">
        <f t="shared" si="32"/>
        <v>13638218.205754844</v>
      </c>
      <c r="R45" s="24">
        <f t="shared" si="32"/>
        <v>13193492.829520645</v>
      </c>
      <c r="S45" s="24">
        <f t="shared" si="32"/>
        <v>768937.21115202317</v>
      </c>
    </row>
    <row r="46" spans="2:19" ht="27" x14ac:dyDescent="0.2">
      <c r="H46" s="17" t="s">
        <v>378</v>
      </c>
    </row>
    <row r="47" spans="2:19" x14ac:dyDescent="0.2">
      <c r="C47" s="43" t="s">
        <v>375</v>
      </c>
      <c r="H47" s="43">
        <v>0</v>
      </c>
    </row>
    <row r="48" spans="2:19" x14ac:dyDescent="0.2">
      <c r="C48" s="43" t="s">
        <v>376</v>
      </c>
      <c r="G48"/>
      <c r="H48" s="43">
        <f>H41</f>
        <v>216374.06880000001</v>
      </c>
    </row>
    <row r="49" spans="2:19" x14ac:dyDescent="0.2">
      <c r="C49" s="43" t="s">
        <v>377</v>
      </c>
      <c r="H49" s="43">
        <f>SUM(H29:H40,H42:H43)</f>
        <v>2446597.545888938</v>
      </c>
    </row>
    <row r="50" spans="2:19" ht="13.5" x14ac:dyDescent="0.2">
      <c r="H50" s="6">
        <f>SUM(H47:H49)</f>
        <v>2662971.614688938</v>
      </c>
    </row>
    <row r="51" spans="2:19" x14ac:dyDescent="0.2">
      <c r="C51" s="43" t="s">
        <v>395</v>
      </c>
      <c r="I51" s="43">
        <f>I44</f>
        <v>18594417.332084645</v>
      </c>
      <c r="J51" s="43">
        <f t="shared" ref="J51:S51" si="33">J44</f>
        <v>18890784.520227283</v>
      </c>
      <c r="K51" s="43">
        <f t="shared" si="33"/>
        <v>19198172.336796317</v>
      </c>
      <c r="L51" s="43">
        <f t="shared" si="33"/>
        <v>19593052.779030498</v>
      </c>
      <c r="M51" s="43">
        <f t="shared" si="33"/>
        <v>19866433.125365242</v>
      </c>
      <c r="N51" s="76">
        <f t="shared" si="33"/>
        <v>20161147.503820769</v>
      </c>
      <c r="O51" s="76">
        <f t="shared" si="33"/>
        <v>20526809.400923207</v>
      </c>
      <c r="P51" s="76">
        <f t="shared" si="33"/>
        <v>20763847.949987758</v>
      </c>
      <c r="Q51" s="76">
        <f t="shared" si="33"/>
        <v>20995410.337759443</v>
      </c>
      <c r="R51" s="76">
        <f t="shared" si="33"/>
        <v>21123207.095504239</v>
      </c>
      <c r="S51" s="76">
        <f t="shared" si="33"/>
        <v>1280336.9790743685</v>
      </c>
    </row>
    <row r="53" spans="2:19" ht="18" thickBot="1" x14ac:dyDescent="0.25">
      <c r="B53" s="80" t="s">
        <v>59</v>
      </c>
      <c r="C53" s="80"/>
      <c r="D53" s="80"/>
      <c r="E53" s="80"/>
      <c r="F53" s="80"/>
      <c r="G53" s="80"/>
    </row>
    <row r="54" spans="2:19" ht="13.5" thickTop="1" x14ac:dyDescent="0.2"/>
    <row r="55" spans="2:19" ht="15.75" thickBot="1" x14ac:dyDescent="0.3">
      <c r="B55" s="22" t="s">
        <v>50</v>
      </c>
      <c r="C55" s="23"/>
    </row>
    <row r="57" spans="2:19" ht="13.5" x14ac:dyDescent="0.2">
      <c r="B57" s="13"/>
      <c r="C57" s="21" t="s">
        <v>48</v>
      </c>
      <c r="D57" s="13" t="s">
        <v>51</v>
      </c>
      <c r="E57" s="82" t="s">
        <v>53</v>
      </c>
      <c r="F57" s="82"/>
      <c r="G57" s="13" t="s">
        <v>35</v>
      </c>
      <c r="H57" s="13">
        <v>2022</v>
      </c>
      <c r="I57" s="13">
        <v>2023</v>
      </c>
      <c r="J57" s="13">
        <v>2024</v>
      </c>
      <c r="K57" s="13">
        <v>2025</v>
      </c>
      <c r="L57" s="13">
        <v>2026</v>
      </c>
      <c r="M57" s="13">
        <v>2027</v>
      </c>
      <c r="N57" s="13">
        <v>2028</v>
      </c>
      <c r="O57" s="13">
        <v>2029</v>
      </c>
      <c r="P57" s="13">
        <v>2030</v>
      </c>
      <c r="Q57" s="13">
        <v>2031</v>
      </c>
      <c r="R57" s="13">
        <v>2032</v>
      </c>
      <c r="S57" s="13">
        <v>2033</v>
      </c>
    </row>
    <row r="58" spans="2:19" x14ac:dyDescent="0.2">
      <c r="B58" s="11"/>
      <c r="C58" s="11"/>
      <c r="D58" s="11"/>
      <c r="E58" s="12"/>
      <c r="F58" s="12"/>
      <c r="G58" s="12">
        <v>1</v>
      </c>
      <c r="H58" s="12">
        <v>2</v>
      </c>
      <c r="I58" s="12">
        <v>3</v>
      </c>
      <c r="J58" s="12">
        <v>4</v>
      </c>
      <c r="K58" s="12">
        <v>5</v>
      </c>
      <c r="L58" s="12">
        <v>6</v>
      </c>
      <c r="M58" s="12">
        <v>7</v>
      </c>
      <c r="N58" s="12">
        <v>8</v>
      </c>
      <c r="O58" s="12">
        <v>9</v>
      </c>
      <c r="P58" s="12">
        <v>10</v>
      </c>
      <c r="Q58" s="12">
        <v>11</v>
      </c>
      <c r="R58" s="12">
        <v>12</v>
      </c>
      <c r="S58" s="12">
        <v>13</v>
      </c>
    </row>
    <row r="59" spans="2:19" ht="13.5" x14ac:dyDescent="0.2">
      <c r="B59" s="7"/>
      <c r="C59" s="8" t="s">
        <v>52</v>
      </c>
      <c r="D59" s="27" t="s">
        <v>34</v>
      </c>
      <c r="E59" s="8"/>
      <c r="F59" s="8"/>
      <c r="G59" s="7" t="s">
        <v>182</v>
      </c>
      <c r="H59" s="6"/>
      <c r="I59" s="6">
        <f>[1]Výber_mýta_P4Ba1O!I$16</f>
        <v>241807585.02806833</v>
      </c>
      <c r="J59" s="6">
        <f>[1]Výber_mýta_P4Ba1O!J$16</f>
        <v>246101013.80952594</v>
      </c>
      <c r="K59" s="6">
        <f>[1]Výber_mýta_P4Ba1O!K$16</f>
        <v>250555212.41166478</v>
      </c>
      <c r="L59" s="6">
        <f>[1]Výber_mýta_P4Ba1O!L$16</f>
        <v>256072390.1231077</v>
      </c>
      <c r="M59" s="6">
        <f>[1]Výber_mýta_P4Ba1O!M$16</f>
        <v>260023803.96607187</v>
      </c>
      <c r="N59" s="6">
        <f>[1]Výber_mýta_P4Ba1O!N$16</f>
        <v>264139340.57404363</v>
      </c>
      <c r="O59" s="6">
        <f>[1]Výber_mýta_P4Ba1O!O$16</f>
        <v>269445053.07708359</v>
      </c>
      <c r="P59" s="6">
        <f>[1]Výber_mýta_P4Ba1O!P$16</f>
        <v>272857812.38930303</v>
      </c>
      <c r="Q59" s="6">
        <f>[1]Výber_mýta_P4Ba1O!Q$16</f>
        <v>276040342.58961749</v>
      </c>
      <c r="R59" s="6">
        <f>[1]Výber_mýta_P4Ba1O!R$16</f>
        <v>277843651.66184527</v>
      </c>
      <c r="S59" s="6"/>
    </row>
    <row r="60" spans="2:19" ht="13.5" x14ac:dyDescent="0.2">
      <c r="B60" s="7"/>
      <c r="C60" s="8" t="s">
        <v>142</v>
      </c>
      <c r="D60" s="27" t="s">
        <v>168</v>
      </c>
      <c r="E60" s="8"/>
      <c r="F60" s="8"/>
      <c r="G60" s="7" t="s">
        <v>153</v>
      </c>
      <c r="H60" s="6"/>
      <c r="I60" s="26">
        <f>'[1]Dĺžky VÚC'!G$82+'[1]Dĺžky VÚC'!G$82</f>
        <v>1069.9839999999999</v>
      </c>
      <c r="J60" s="26">
        <f>'[1]Dĺžky VÚC'!H$82+'[1]Dĺžky VÚC'!H$82</f>
        <v>1069.9839999999999</v>
      </c>
      <c r="K60" s="26">
        <f>'[1]Dĺžky VÚC'!I$82+'[1]Dĺžky VÚC'!I$82</f>
        <v>1099.8239999999998</v>
      </c>
      <c r="L60" s="26">
        <f>'[1]Dĺžky VÚC'!J$82+'[1]Dĺžky VÚC'!J$82</f>
        <v>1126.8439999999998</v>
      </c>
      <c r="M60" s="26">
        <f>'[1]Dĺžky VÚC'!K$82+'[1]Dĺžky VÚC'!K$82</f>
        <v>1126.8439999999998</v>
      </c>
      <c r="N60" s="26">
        <f>'[1]Dĺžky VÚC'!L$82+'[1]Dĺžky VÚC'!L$82</f>
        <v>1178.4439999999997</v>
      </c>
      <c r="O60" s="26">
        <f>'[1]Dĺžky VÚC'!M$82+'[1]Dĺžky VÚC'!M$82</f>
        <v>1178.4439999999997</v>
      </c>
      <c r="P60" s="26">
        <f>'[1]Dĺžky VÚC'!N$82+'[1]Dĺžky VÚC'!N$82</f>
        <v>1185.5839999999998</v>
      </c>
      <c r="Q60" s="26">
        <f>'[1]Dĺžky VÚC'!O$82+'[1]Dĺžky VÚC'!O$82</f>
        <v>1212.6439999999998</v>
      </c>
      <c r="R60" s="26">
        <f>'[1]Dĺžky VÚC'!P$82+'[1]Dĺžky VÚC'!P$82</f>
        <v>1212.6439999999998</v>
      </c>
      <c r="S60" s="6"/>
    </row>
    <row r="61" spans="2:19" ht="13.5" x14ac:dyDescent="0.2">
      <c r="B61" s="7"/>
      <c r="C61" s="8" t="s">
        <v>143</v>
      </c>
      <c r="D61" s="27" t="s">
        <v>168</v>
      </c>
      <c r="E61" s="8"/>
      <c r="F61" s="8"/>
      <c r="G61" s="7" t="s">
        <v>183</v>
      </c>
      <c r="H61" s="6"/>
      <c r="I61" s="26">
        <f>SUM('[1]Dĺžky VÚC'!G$73,'[1]Dĺžky VÚC'!G$75,'[1]Dĺžky VÚC'!G$77)</f>
        <v>2218.0230000000015</v>
      </c>
      <c r="J61" s="26">
        <f>SUM('[1]Dĺžky VÚC'!H$73,'[1]Dĺžky VÚC'!H$75,'[1]Dĺžky VÚC'!H$77)</f>
        <v>2218.0230000000015</v>
      </c>
      <c r="K61" s="26">
        <f>SUM('[1]Dĺžky VÚC'!I$73,'[1]Dĺžky VÚC'!I$75,'[1]Dĺžky VÚC'!I$77)</f>
        <v>2223.7530000000015</v>
      </c>
      <c r="L61" s="26">
        <f>SUM('[1]Dĺžky VÚC'!J$73,'[1]Dĺžky VÚC'!J$75,'[1]Dĺžky VÚC'!J$77)</f>
        <v>2250.6360000000013</v>
      </c>
      <c r="M61" s="26">
        <f>SUM('[1]Dĺžky VÚC'!K$73,'[1]Dĺžky VÚC'!K$75,'[1]Dĺžky VÚC'!K$77)</f>
        <v>2250.6360000000013</v>
      </c>
      <c r="N61" s="26">
        <f>SUM('[1]Dĺžky VÚC'!L$73,'[1]Dĺžky VÚC'!L$75,'[1]Dĺžky VÚC'!L$77)</f>
        <v>2258.4360000000015</v>
      </c>
      <c r="O61" s="26">
        <f>SUM('[1]Dĺžky VÚC'!M$73,'[1]Dĺžky VÚC'!M$75,'[1]Dĺžky VÚC'!M$77)</f>
        <v>2277.4360000000015</v>
      </c>
      <c r="P61" s="26">
        <f>SUM('[1]Dĺžky VÚC'!N$73,'[1]Dĺžky VÚC'!N$75,'[1]Dĺžky VÚC'!N$77)</f>
        <v>2286.9360000000015</v>
      </c>
      <c r="Q61" s="26">
        <f>SUM('[1]Dĺžky VÚC'!O$73,'[1]Dĺžky VÚC'!O$75,'[1]Dĺžky VÚC'!O$77)</f>
        <v>2286.9360000000015</v>
      </c>
      <c r="R61" s="26">
        <f>SUM('[1]Dĺžky VÚC'!P$73,'[1]Dĺžky VÚC'!P$75,'[1]Dĺžky VÚC'!P$77)</f>
        <v>2286.9360000000015</v>
      </c>
      <c r="S61" s="6"/>
    </row>
    <row r="62" spans="2:19" ht="13.5" x14ac:dyDescent="0.2">
      <c r="B62" s="7"/>
      <c r="C62" s="8" t="s">
        <v>144</v>
      </c>
      <c r="D62" s="18"/>
      <c r="E62" s="8">
        <v>50</v>
      </c>
      <c r="F62" s="8" t="s">
        <v>145</v>
      </c>
      <c r="G62" s="7" t="s">
        <v>184</v>
      </c>
      <c r="H62" s="6">
        <f>I62</f>
        <v>44</v>
      </c>
      <c r="I62" s="6">
        <f>2*ROUNDUP(I60/$E62,0)</f>
        <v>44</v>
      </c>
      <c r="J62" s="6">
        <f t="shared" ref="J62:R62" si="34">2*ROUNDUP(J60/$E62,0)</f>
        <v>44</v>
      </c>
      <c r="K62" s="6">
        <f t="shared" si="34"/>
        <v>44</v>
      </c>
      <c r="L62" s="6">
        <f t="shared" si="34"/>
        <v>46</v>
      </c>
      <c r="M62" s="6">
        <f t="shared" si="34"/>
        <v>46</v>
      </c>
      <c r="N62" s="6">
        <f t="shared" si="34"/>
        <v>48</v>
      </c>
      <c r="O62" s="6">
        <f t="shared" si="34"/>
        <v>48</v>
      </c>
      <c r="P62" s="6">
        <f t="shared" si="34"/>
        <v>48</v>
      </c>
      <c r="Q62" s="6">
        <f t="shared" si="34"/>
        <v>50</v>
      </c>
      <c r="R62" s="6">
        <f t="shared" si="34"/>
        <v>50</v>
      </c>
      <c r="S62" s="6">
        <f>R62</f>
        <v>50</v>
      </c>
    </row>
    <row r="63" spans="2:19" ht="13.5" x14ac:dyDescent="0.2">
      <c r="B63" s="7"/>
      <c r="C63" s="8" t="s">
        <v>146</v>
      </c>
      <c r="D63" s="18"/>
      <c r="E63" s="8">
        <v>50</v>
      </c>
      <c r="F63" s="8" t="s">
        <v>145</v>
      </c>
      <c r="G63" s="7" t="s">
        <v>150</v>
      </c>
      <c r="H63" s="6">
        <f>I63</f>
        <v>45</v>
      </c>
      <c r="I63" s="6">
        <f>ROUNDUP(I61/$E63,0)</f>
        <v>45</v>
      </c>
      <c r="J63" s="6">
        <f t="shared" ref="J63:R63" si="35">ROUNDUP(J61/$E63,0)</f>
        <v>45</v>
      </c>
      <c r="K63" s="6">
        <f t="shared" si="35"/>
        <v>45</v>
      </c>
      <c r="L63" s="6">
        <f t="shared" si="35"/>
        <v>46</v>
      </c>
      <c r="M63" s="6">
        <f t="shared" si="35"/>
        <v>46</v>
      </c>
      <c r="N63" s="6">
        <f t="shared" si="35"/>
        <v>46</v>
      </c>
      <c r="O63" s="6">
        <f t="shared" si="35"/>
        <v>46</v>
      </c>
      <c r="P63" s="6">
        <f t="shared" si="35"/>
        <v>46</v>
      </c>
      <c r="Q63" s="6">
        <f t="shared" si="35"/>
        <v>46</v>
      </c>
      <c r="R63" s="6">
        <f t="shared" si="35"/>
        <v>46</v>
      </c>
      <c r="S63" s="6">
        <f>R63</f>
        <v>46</v>
      </c>
    </row>
    <row r="64" spans="2:19" ht="13.5" x14ac:dyDescent="0.2">
      <c r="B64" s="7"/>
      <c r="C64" s="8" t="s">
        <v>147</v>
      </c>
      <c r="D64" s="18"/>
      <c r="E64" s="8"/>
      <c r="F64" s="8"/>
      <c r="G64" s="7" t="s">
        <v>185</v>
      </c>
      <c r="H64" s="6">
        <f>SUM(H62:H63)</f>
        <v>89</v>
      </c>
      <c r="I64" s="6">
        <f t="shared" ref="I64:S64" si="36">SUM(I62:I63)</f>
        <v>89</v>
      </c>
      <c r="J64" s="6">
        <f t="shared" si="36"/>
        <v>89</v>
      </c>
      <c r="K64" s="6">
        <f t="shared" si="36"/>
        <v>89</v>
      </c>
      <c r="L64" s="6">
        <f t="shared" si="36"/>
        <v>92</v>
      </c>
      <c r="M64" s="6">
        <f t="shared" si="36"/>
        <v>92</v>
      </c>
      <c r="N64" s="6">
        <f t="shared" si="36"/>
        <v>94</v>
      </c>
      <c r="O64" s="6">
        <f t="shared" si="36"/>
        <v>94</v>
      </c>
      <c r="P64" s="6">
        <f t="shared" si="36"/>
        <v>94</v>
      </c>
      <c r="Q64" s="6">
        <f t="shared" si="36"/>
        <v>96</v>
      </c>
      <c r="R64" s="6">
        <f t="shared" si="36"/>
        <v>96</v>
      </c>
      <c r="S64" s="6">
        <f t="shared" si="36"/>
        <v>96</v>
      </c>
    </row>
    <row r="65" spans="2:19" ht="13.5" x14ac:dyDescent="0.2">
      <c r="B65" s="7"/>
      <c r="C65" s="8" t="s">
        <v>148</v>
      </c>
      <c r="D65" s="18"/>
      <c r="E65" s="8"/>
      <c r="F65" s="8"/>
      <c r="G65" s="7" t="s">
        <v>186</v>
      </c>
      <c r="H65" s="6">
        <v>28</v>
      </c>
      <c r="I65" s="6">
        <f>H65</f>
        <v>28</v>
      </c>
      <c r="J65" s="6">
        <f t="shared" ref="J65:S65" si="37">I65</f>
        <v>28</v>
      </c>
      <c r="K65" s="6">
        <f t="shared" si="37"/>
        <v>28</v>
      </c>
      <c r="L65" s="6">
        <f t="shared" si="37"/>
        <v>28</v>
      </c>
      <c r="M65" s="6">
        <f t="shared" si="37"/>
        <v>28</v>
      </c>
      <c r="N65" s="6">
        <f t="shared" si="37"/>
        <v>28</v>
      </c>
      <c r="O65" s="6">
        <f t="shared" si="37"/>
        <v>28</v>
      </c>
      <c r="P65" s="6">
        <f t="shared" si="37"/>
        <v>28</v>
      </c>
      <c r="Q65" s="6">
        <f t="shared" si="37"/>
        <v>28</v>
      </c>
      <c r="R65" s="6">
        <f t="shared" si="37"/>
        <v>28</v>
      </c>
      <c r="S65" s="6">
        <f t="shared" si="37"/>
        <v>28</v>
      </c>
    </row>
    <row r="66" spans="2:19" ht="13.5" x14ac:dyDescent="0.2">
      <c r="B66" s="7"/>
      <c r="C66" s="8" t="s">
        <v>149</v>
      </c>
      <c r="D66" s="18"/>
      <c r="E66" s="8"/>
      <c r="F66" s="8"/>
      <c r="G66" s="7" t="s">
        <v>187</v>
      </c>
      <c r="H66" s="6">
        <v>8</v>
      </c>
      <c r="I66" s="6">
        <v>8</v>
      </c>
      <c r="J66" s="6">
        <v>8</v>
      </c>
      <c r="K66" s="6">
        <v>8</v>
      </c>
      <c r="L66" s="6">
        <v>8</v>
      </c>
      <c r="M66" s="6">
        <v>8</v>
      </c>
      <c r="N66" s="6">
        <v>8</v>
      </c>
      <c r="O66" s="6">
        <v>8</v>
      </c>
      <c r="P66" s="6">
        <v>8</v>
      </c>
      <c r="Q66" s="6">
        <v>8</v>
      </c>
      <c r="R66" s="6">
        <v>8</v>
      </c>
      <c r="S66" s="6">
        <v>8</v>
      </c>
    </row>
    <row r="67" spans="2:19" ht="13.5" x14ac:dyDescent="0.2">
      <c r="B67" s="7"/>
      <c r="C67" s="8" t="s">
        <v>36</v>
      </c>
      <c r="D67" s="8"/>
      <c r="E67" s="18"/>
      <c r="F67" s="8"/>
      <c r="G67" s="7" t="s">
        <v>188</v>
      </c>
      <c r="H67" s="6">
        <v>3</v>
      </c>
      <c r="I67" s="6">
        <v>12</v>
      </c>
      <c r="J67" s="6">
        <v>12</v>
      </c>
      <c r="K67" s="6">
        <v>12</v>
      </c>
      <c r="L67" s="6">
        <v>12</v>
      </c>
      <c r="M67" s="6">
        <v>12</v>
      </c>
      <c r="N67" s="6">
        <v>12</v>
      </c>
      <c r="O67" s="6">
        <v>12</v>
      </c>
      <c r="P67" s="6">
        <v>12</v>
      </c>
      <c r="Q67" s="6">
        <v>12</v>
      </c>
      <c r="R67" s="6">
        <v>12</v>
      </c>
      <c r="S67" s="1">
        <v>3</v>
      </c>
    </row>
    <row r="68" spans="2:19" ht="13.5" x14ac:dyDescent="0.2">
      <c r="B68" s="7"/>
      <c r="C68" s="8" t="s">
        <v>57</v>
      </c>
      <c r="D68" s="8"/>
      <c r="E68" s="18"/>
      <c r="F68" s="8"/>
      <c r="G68" s="7" t="s">
        <v>189</v>
      </c>
      <c r="H68" s="6">
        <v>3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>
        <v>3</v>
      </c>
    </row>
    <row r="69" spans="2:19" ht="13.5" x14ac:dyDescent="0.2">
      <c r="B69" s="7"/>
      <c r="C69" s="8" t="s">
        <v>44</v>
      </c>
      <c r="D69" s="8"/>
      <c r="E69" s="18"/>
      <c r="F69" s="8"/>
      <c r="G69" s="7" t="s">
        <v>151</v>
      </c>
      <c r="H69" s="6">
        <v>6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1">
        <v>3</v>
      </c>
    </row>
    <row r="70" spans="2:19" ht="27" x14ac:dyDescent="0.2">
      <c r="B70" s="7"/>
      <c r="C70" s="8" t="s">
        <v>469</v>
      </c>
      <c r="D70" s="8"/>
      <c r="E70" s="18"/>
      <c r="F70" s="8"/>
      <c r="G70" s="7" t="s">
        <v>190</v>
      </c>
      <c r="H70" s="6">
        <v>6</v>
      </c>
      <c r="I70" s="6">
        <v>12</v>
      </c>
      <c r="J70" s="6">
        <v>12</v>
      </c>
      <c r="K70" s="6">
        <v>12</v>
      </c>
      <c r="L70" s="6">
        <v>12</v>
      </c>
      <c r="M70" s="6">
        <v>12</v>
      </c>
      <c r="N70" s="6">
        <v>12</v>
      </c>
      <c r="O70" s="6">
        <v>12</v>
      </c>
      <c r="P70" s="6">
        <v>12</v>
      </c>
      <c r="Q70" s="6">
        <v>12</v>
      </c>
      <c r="R70" s="6">
        <v>12</v>
      </c>
      <c r="S70" s="1">
        <v>6</v>
      </c>
    </row>
    <row r="71" spans="2:19" ht="13.5" x14ac:dyDescent="0.2">
      <c r="B71" s="7"/>
      <c r="C71" s="8" t="s">
        <v>467</v>
      </c>
      <c r="D71" s="8"/>
      <c r="E71" s="73">
        <v>0.02</v>
      </c>
      <c r="F71" s="8"/>
      <c r="G71" s="7" t="s">
        <v>191</v>
      </c>
      <c r="H71" s="72">
        <f>(1+$E71)^(H$57-2020)</f>
        <v>1.0404</v>
      </c>
      <c r="I71" s="72">
        <f t="shared" ref="I71:S71" si="38">(1+$E71)^(I$57-2020)</f>
        <v>1.0612079999999999</v>
      </c>
      <c r="J71" s="72">
        <f t="shared" si="38"/>
        <v>1.08243216</v>
      </c>
      <c r="K71" s="72">
        <f t="shared" si="38"/>
        <v>1.1040808032</v>
      </c>
      <c r="L71" s="72">
        <f t="shared" si="38"/>
        <v>1.1261624192640001</v>
      </c>
      <c r="M71" s="72">
        <f t="shared" si="38"/>
        <v>1.1486856676492798</v>
      </c>
      <c r="N71" s="72">
        <f t="shared" si="38"/>
        <v>1.1716593810022655</v>
      </c>
      <c r="O71" s="72">
        <f t="shared" si="38"/>
        <v>1.1950925686223108</v>
      </c>
      <c r="P71" s="72">
        <f t="shared" si="38"/>
        <v>1.2189944199947571</v>
      </c>
      <c r="Q71" s="72">
        <f t="shared" si="38"/>
        <v>1.243374308394652</v>
      </c>
      <c r="R71" s="72">
        <f t="shared" si="38"/>
        <v>1.2682417945625453</v>
      </c>
      <c r="S71" s="72">
        <f t="shared" si="38"/>
        <v>1.2936066304537961</v>
      </c>
    </row>
    <row r="72" spans="2:19" ht="13.5" x14ac:dyDescent="0.2">
      <c r="B72" s="7"/>
      <c r="C72" s="8" t="s">
        <v>163</v>
      </c>
      <c r="D72" s="8"/>
      <c r="E72" s="8">
        <v>200</v>
      </c>
      <c r="F72" s="8" t="s">
        <v>162</v>
      </c>
      <c r="G72" s="7" t="s">
        <v>192</v>
      </c>
      <c r="H72" s="6">
        <f>$E72*H67</f>
        <v>600</v>
      </c>
      <c r="I72" s="6">
        <f t="shared" ref="I72:S72" si="39">$E72*I67</f>
        <v>2400</v>
      </c>
      <c r="J72" s="6">
        <f t="shared" si="39"/>
        <v>2400</v>
      </c>
      <c r="K72" s="6">
        <f t="shared" si="39"/>
        <v>2400</v>
      </c>
      <c r="L72" s="6">
        <f t="shared" si="39"/>
        <v>2400</v>
      </c>
      <c r="M72" s="6">
        <f t="shared" si="39"/>
        <v>2400</v>
      </c>
      <c r="N72" s="6">
        <f t="shared" si="39"/>
        <v>2400</v>
      </c>
      <c r="O72" s="6">
        <f t="shared" si="39"/>
        <v>2400</v>
      </c>
      <c r="P72" s="6">
        <f t="shared" si="39"/>
        <v>2400</v>
      </c>
      <c r="Q72" s="6">
        <f t="shared" si="39"/>
        <v>2400</v>
      </c>
      <c r="R72" s="6">
        <f t="shared" si="39"/>
        <v>2400</v>
      </c>
      <c r="S72" s="6">
        <f t="shared" si="39"/>
        <v>600</v>
      </c>
    </row>
    <row r="73" spans="2:19" ht="13.5" x14ac:dyDescent="0.2">
      <c r="B73" s="7"/>
      <c r="C73" s="8" t="s">
        <v>164</v>
      </c>
      <c r="D73" s="8"/>
      <c r="E73" s="8">
        <v>2000</v>
      </c>
      <c r="F73" s="8" t="s">
        <v>162</v>
      </c>
      <c r="G73" s="7" t="s">
        <v>193</v>
      </c>
      <c r="H73" s="6">
        <f>$E73*H67</f>
        <v>6000</v>
      </c>
      <c r="I73" s="6">
        <f t="shared" ref="I73:S73" si="40">$E73*I67</f>
        <v>24000</v>
      </c>
      <c r="J73" s="6">
        <f t="shared" si="40"/>
        <v>24000</v>
      </c>
      <c r="K73" s="6">
        <f t="shared" si="40"/>
        <v>24000</v>
      </c>
      <c r="L73" s="6">
        <f t="shared" si="40"/>
        <v>24000</v>
      </c>
      <c r="M73" s="6">
        <f t="shared" si="40"/>
        <v>24000</v>
      </c>
      <c r="N73" s="6">
        <f t="shared" si="40"/>
        <v>24000</v>
      </c>
      <c r="O73" s="6">
        <f t="shared" si="40"/>
        <v>24000</v>
      </c>
      <c r="P73" s="6">
        <f t="shared" si="40"/>
        <v>24000</v>
      </c>
      <c r="Q73" s="6">
        <f t="shared" si="40"/>
        <v>24000</v>
      </c>
      <c r="R73" s="6">
        <f t="shared" si="40"/>
        <v>24000</v>
      </c>
      <c r="S73" s="6">
        <f t="shared" si="40"/>
        <v>6000</v>
      </c>
    </row>
    <row r="74" spans="2:19" ht="13.5" x14ac:dyDescent="0.2">
      <c r="B74" s="7"/>
      <c r="C74" s="8" t="s">
        <v>166</v>
      </c>
      <c r="D74" s="8"/>
      <c r="E74" s="8"/>
      <c r="F74" s="8"/>
      <c r="G74" s="7" t="s">
        <v>194</v>
      </c>
      <c r="H74" s="29"/>
      <c r="I74" s="30">
        <v>0.05</v>
      </c>
      <c r="J74" s="30">
        <v>0.1</v>
      </c>
      <c r="K74" s="30">
        <v>0.2</v>
      </c>
      <c r="L74" s="30">
        <v>0.3</v>
      </c>
      <c r="M74" s="30">
        <v>0.4</v>
      </c>
      <c r="N74" s="30">
        <v>0.5</v>
      </c>
      <c r="O74" s="30">
        <v>0.55000000000000004</v>
      </c>
      <c r="P74" s="30">
        <v>0.6</v>
      </c>
      <c r="Q74" s="30">
        <v>0.625</v>
      </c>
      <c r="R74" s="30">
        <v>0.63</v>
      </c>
      <c r="S74" s="29"/>
    </row>
    <row r="75" spans="2:19" ht="13.5" x14ac:dyDescent="0.2">
      <c r="B75" s="7"/>
      <c r="C75" s="8" t="s">
        <v>167</v>
      </c>
      <c r="D75" s="8"/>
      <c r="E75" s="8"/>
      <c r="F75" s="8"/>
      <c r="G75" s="7" t="s">
        <v>195</v>
      </c>
      <c r="H75" s="29"/>
      <c r="I75" s="6">
        <f>I59*I74</f>
        <v>12090379.251403417</v>
      </c>
      <c r="J75" s="6">
        <f t="shared" ref="J75:S75" si="41">J59*J74</f>
        <v>24610101.380952597</v>
      </c>
      <c r="K75" s="6">
        <f t="shared" si="41"/>
        <v>50111042.48233296</v>
      </c>
      <c r="L75" s="6">
        <f t="shared" si="41"/>
        <v>76821717.036932305</v>
      </c>
      <c r="M75" s="6">
        <f t="shared" si="41"/>
        <v>104009521.58642876</v>
      </c>
      <c r="N75" s="6">
        <f t="shared" si="41"/>
        <v>132069670.28702182</v>
      </c>
      <c r="O75" s="6">
        <f t="shared" si="41"/>
        <v>148194779.19239599</v>
      </c>
      <c r="P75" s="6">
        <f t="shared" si="41"/>
        <v>163714687.4335818</v>
      </c>
      <c r="Q75" s="6">
        <f t="shared" si="41"/>
        <v>172525214.11851093</v>
      </c>
      <c r="R75" s="6">
        <f t="shared" si="41"/>
        <v>175041500.54696253</v>
      </c>
      <c r="S75" s="6">
        <f t="shared" si="41"/>
        <v>0</v>
      </c>
    </row>
    <row r="76" spans="2:19" ht="27" x14ac:dyDescent="0.2">
      <c r="B76" s="7"/>
      <c r="C76" s="8" t="s">
        <v>437</v>
      </c>
      <c r="D76" s="8" t="s">
        <v>161</v>
      </c>
      <c r="E76" s="19">
        <v>0.72</v>
      </c>
      <c r="F76" s="20">
        <v>1.2</v>
      </c>
      <c r="G76" s="7" t="s">
        <v>196</v>
      </c>
      <c r="H76" s="6"/>
      <c r="I76" s="6">
        <f>(I59-I75)*$E76*$F76</f>
        <v>198475665.79103848</v>
      </c>
      <c r="J76" s="6">
        <f t="shared" ref="J76:R76" si="42">(J59-J75)*$E76*$F76</f>
        <v>191368148.33828732</v>
      </c>
      <c r="K76" s="6">
        <f t="shared" si="42"/>
        <v>173183762.8189427</v>
      </c>
      <c r="L76" s="6">
        <f t="shared" si="42"/>
        <v>154872581.54645553</v>
      </c>
      <c r="M76" s="6">
        <f t="shared" si="42"/>
        <v>134796339.97601163</v>
      </c>
      <c r="N76" s="6">
        <f t="shared" si="42"/>
        <v>114108195.12798683</v>
      </c>
      <c r="O76" s="6">
        <f t="shared" si="42"/>
        <v>104760236.63637008</v>
      </c>
      <c r="P76" s="6">
        <f t="shared" si="42"/>
        <v>94299659.961743131</v>
      </c>
      <c r="Q76" s="6">
        <f t="shared" si="42"/>
        <v>89437070.999036059</v>
      </c>
      <c r="R76" s="6">
        <f t="shared" si="42"/>
        <v>88821058.563258678</v>
      </c>
      <c r="S76" s="1"/>
    </row>
    <row r="79" spans="2:19" ht="24.75" customHeight="1" x14ac:dyDescent="0.2">
      <c r="B79" s="79" t="s">
        <v>404</v>
      </c>
      <c r="C79" s="79"/>
      <c r="D79" s="79"/>
      <c r="H79" s="79" t="s">
        <v>445</v>
      </c>
      <c r="I79" s="79"/>
      <c r="J79" s="79"/>
      <c r="K79" s="79"/>
    </row>
    <row r="80" spans="2:19" ht="40.5" x14ac:dyDescent="0.2">
      <c r="B80" s="4" t="s">
        <v>0</v>
      </c>
      <c r="C80" s="5" t="s">
        <v>1</v>
      </c>
      <c r="D80" s="5" t="s">
        <v>2</v>
      </c>
      <c r="E80" s="5" t="s">
        <v>3</v>
      </c>
      <c r="F80" s="5" t="s">
        <v>33</v>
      </c>
      <c r="G80" s="4" t="s">
        <v>35</v>
      </c>
      <c r="H80" s="4">
        <v>2022</v>
      </c>
      <c r="I80" s="4">
        <v>2023</v>
      </c>
      <c r="J80" s="4">
        <v>2024</v>
      </c>
      <c r="K80" s="4">
        <v>2025</v>
      </c>
      <c r="L80" s="4">
        <v>2026</v>
      </c>
      <c r="M80" s="4">
        <v>2027</v>
      </c>
      <c r="N80" s="4">
        <v>2028</v>
      </c>
      <c r="O80" s="4">
        <v>2029</v>
      </c>
      <c r="P80" s="4">
        <v>2030</v>
      </c>
      <c r="Q80" s="4">
        <v>2031</v>
      </c>
      <c r="R80" s="4">
        <v>2032</v>
      </c>
      <c r="S80" s="4">
        <v>2033</v>
      </c>
    </row>
    <row r="81" spans="2:19" s="25" customFormat="1" ht="13.5" x14ac:dyDescent="0.2">
      <c r="B81" s="7" t="s">
        <v>102</v>
      </c>
      <c r="C81" s="8" t="s">
        <v>481</v>
      </c>
      <c r="D81" s="8" t="s">
        <v>78</v>
      </c>
      <c r="E81" s="27" t="s">
        <v>477</v>
      </c>
      <c r="F81" s="16">
        <f>SUM([3]FINAL_UCPA_Moduly!$J$10:$L$10)</f>
        <v>1293838.1249999998</v>
      </c>
      <c r="G81" s="7"/>
      <c r="H81" s="6">
        <f>F81</f>
        <v>1293838.1249999998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2:19" s="25" customFormat="1" ht="27" x14ac:dyDescent="0.2">
      <c r="B82" s="7" t="s">
        <v>103</v>
      </c>
      <c r="C82" s="8" t="s">
        <v>510</v>
      </c>
      <c r="D82" s="8" t="s">
        <v>78</v>
      </c>
      <c r="E82" s="8" t="s">
        <v>503</v>
      </c>
      <c r="F82" s="16">
        <f>ROUND(12%*F81,0)</f>
        <v>155261</v>
      </c>
      <c r="G82" s="7"/>
      <c r="H82" s="6"/>
      <c r="I82" s="6">
        <f t="shared" ref="I82:R82" si="43">$F82</f>
        <v>155261</v>
      </c>
      <c r="J82" s="6">
        <f t="shared" si="43"/>
        <v>155261</v>
      </c>
      <c r="K82" s="6">
        <f t="shared" si="43"/>
        <v>155261</v>
      </c>
      <c r="L82" s="6">
        <f t="shared" si="43"/>
        <v>155261</v>
      </c>
      <c r="M82" s="6">
        <f t="shared" si="43"/>
        <v>155261</v>
      </c>
      <c r="N82" s="6">
        <f t="shared" si="43"/>
        <v>155261</v>
      </c>
      <c r="O82" s="6">
        <f t="shared" si="43"/>
        <v>155261</v>
      </c>
      <c r="P82" s="6">
        <f t="shared" si="43"/>
        <v>155261</v>
      </c>
      <c r="Q82" s="6">
        <f t="shared" si="43"/>
        <v>155261</v>
      </c>
      <c r="R82" s="6">
        <f t="shared" si="43"/>
        <v>155261</v>
      </c>
      <c r="S82" s="6"/>
    </row>
    <row r="83" spans="2:19" s="25" customFormat="1" ht="13.5" x14ac:dyDescent="0.2">
      <c r="B83" s="7" t="s">
        <v>104</v>
      </c>
      <c r="C83" s="8" t="s">
        <v>60</v>
      </c>
      <c r="D83" s="8" t="s">
        <v>61</v>
      </c>
      <c r="E83" s="8" t="s">
        <v>55</v>
      </c>
      <c r="F83" s="16">
        <v>1800</v>
      </c>
      <c r="G83" s="7" t="s">
        <v>185</v>
      </c>
      <c r="H83" s="6">
        <f>H64*F$83</f>
        <v>160200</v>
      </c>
      <c r="I83" s="6">
        <f>$F83*(I64-H64)</f>
        <v>0</v>
      </c>
      <c r="J83" s="6">
        <f t="shared" ref="J83:S83" si="44">$F83*(J64-I64)</f>
        <v>0</v>
      </c>
      <c r="K83" s="6">
        <f t="shared" si="44"/>
        <v>0</v>
      </c>
      <c r="L83" s="6">
        <f t="shared" si="44"/>
        <v>5400</v>
      </c>
      <c r="M83" s="6">
        <f t="shared" si="44"/>
        <v>0</v>
      </c>
      <c r="N83" s="6">
        <f t="shared" si="44"/>
        <v>3600</v>
      </c>
      <c r="O83" s="6">
        <f t="shared" si="44"/>
        <v>0</v>
      </c>
      <c r="P83" s="6">
        <f t="shared" si="44"/>
        <v>0</v>
      </c>
      <c r="Q83" s="6">
        <f t="shared" si="44"/>
        <v>3600</v>
      </c>
      <c r="R83" s="6">
        <f t="shared" si="44"/>
        <v>0</v>
      </c>
      <c r="S83" s="6">
        <f t="shared" si="44"/>
        <v>0</v>
      </c>
    </row>
    <row r="84" spans="2:19" s="25" customFormat="1" ht="13.5" x14ac:dyDescent="0.2">
      <c r="B84" s="7" t="s">
        <v>105</v>
      </c>
      <c r="C84" s="8" t="s">
        <v>62</v>
      </c>
      <c r="D84" s="8" t="s">
        <v>7</v>
      </c>
      <c r="E84" s="8" t="s">
        <v>55</v>
      </c>
      <c r="F84" s="16">
        <v>755</v>
      </c>
      <c r="G84" s="7" t="s">
        <v>197</v>
      </c>
      <c r="H84" s="6">
        <f>$F84*H64*H67</f>
        <v>201585</v>
      </c>
      <c r="I84" s="6">
        <f t="shared" ref="I84:S84" si="45">$F84*I64*I67</f>
        <v>806340</v>
      </c>
      <c r="J84" s="6">
        <f t="shared" si="45"/>
        <v>806340</v>
      </c>
      <c r="K84" s="6">
        <f t="shared" si="45"/>
        <v>806340</v>
      </c>
      <c r="L84" s="6">
        <f t="shared" si="45"/>
        <v>833520</v>
      </c>
      <c r="M84" s="6">
        <f t="shared" si="45"/>
        <v>833520</v>
      </c>
      <c r="N84" s="6">
        <f t="shared" si="45"/>
        <v>851640</v>
      </c>
      <c r="O84" s="6">
        <f t="shared" si="45"/>
        <v>851640</v>
      </c>
      <c r="P84" s="6">
        <f t="shared" si="45"/>
        <v>851640</v>
      </c>
      <c r="Q84" s="6">
        <f t="shared" si="45"/>
        <v>869760</v>
      </c>
      <c r="R84" s="6">
        <f t="shared" si="45"/>
        <v>869760</v>
      </c>
      <c r="S84" s="6">
        <f t="shared" si="45"/>
        <v>217440</v>
      </c>
    </row>
    <row r="85" spans="2:19" s="25" customFormat="1" ht="13.5" x14ac:dyDescent="0.2">
      <c r="B85" s="7" t="s">
        <v>106</v>
      </c>
      <c r="C85" s="8" t="s">
        <v>63</v>
      </c>
      <c r="D85" s="8" t="s">
        <v>7</v>
      </c>
      <c r="E85" s="8" t="s">
        <v>55</v>
      </c>
      <c r="F85" s="16">
        <f>4%*F83</f>
        <v>72</v>
      </c>
      <c r="G85" s="7" t="s">
        <v>197</v>
      </c>
      <c r="H85" s="6">
        <f t="shared" ref="H85:S85" si="46">$F85*H64*H67</f>
        <v>19224</v>
      </c>
      <c r="I85" s="6">
        <f t="shared" si="46"/>
        <v>76896</v>
      </c>
      <c r="J85" s="6">
        <f t="shared" si="46"/>
        <v>76896</v>
      </c>
      <c r="K85" s="6">
        <f t="shared" si="46"/>
        <v>76896</v>
      </c>
      <c r="L85" s="6">
        <f t="shared" si="46"/>
        <v>79488</v>
      </c>
      <c r="M85" s="6">
        <f t="shared" si="46"/>
        <v>79488</v>
      </c>
      <c r="N85" s="6">
        <f t="shared" si="46"/>
        <v>81216</v>
      </c>
      <c r="O85" s="6">
        <f t="shared" si="46"/>
        <v>81216</v>
      </c>
      <c r="P85" s="6">
        <f t="shared" si="46"/>
        <v>81216</v>
      </c>
      <c r="Q85" s="6">
        <f t="shared" si="46"/>
        <v>82944</v>
      </c>
      <c r="R85" s="6">
        <f t="shared" si="46"/>
        <v>82944</v>
      </c>
      <c r="S85" s="6">
        <f t="shared" si="46"/>
        <v>20736</v>
      </c>
    </row>
    <row r="86" spans="2:19" s="25" customFormat="1" ht="13.5" x14ac:dyDescent="0.2">
      <c r="B86" s="7" t="s">
        <v>107</v>
      </c>
      <c r="C86" s="8" t="s">
        <v>64</v>
      </c>
      <c r="D86" s="8" t="s">
        <v>61</v>
      </c>
      <c r="E86" s="8" t="s">
        <v>55</v>
      </c>
      <c r="F86" s="16">
        <f>4%*F83</f>
        <v>72</v>
      </c>
      <c r="G86" s="7" t="s">
        <v>185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>
        <f>F86*S64</f>
        <v>6912</v>
      </c>
    </row>
    <row r="87" spans="2:19" s="25" customFormat="1" ht="13.5" x14ac:dyDescent="0.2">
      <c r="B87" s="7" t="s">
        <v>108</v>
      </c>
      <c r="C87" s="8" t="s">
        <v>65</v>
      </c>
      <c r="D87" s="8" t="s">
        <v>66</v>
      </c>
      <c r="E87" s="8" t="s">
        <v>55</v>
      </c>
      <c r="F87" s="16">
        <f>2*F83</f>
        <v>3600</v>
      </c>
      <c r="G87" s="7" t="s">
        <v>186</v>
      </c>
      <c r="H87" s="6">
        <f>H65*F$87</f>
        <v>100800</v>
      </c>
      <c r="I87" s="6">
        <f t="shared" ref="I87:S87" si="47">$F87*(I65-H65)</f>
        <v>0</v>
      </c>
      <c r="J87" s="6">
        <f t="shared" si="47"/>
        <v>0</v>
      </c>
      <c r="K87" s="6">
        <f t="shared" si="47"/>
        <v>0</v>
      </c>
      <c r="L87" s="6">
        <f t="shared" si="47"/>
        <v>0</v>
      </c>
      <c r="M87" s="6">
        <f t="shared" si="47"/>
        <v>0</v>
      </c>
      <c r="N87" s="6">
        <f t="shared" si="47"/>
        <v>0</v>
      </c>
      <c r="O87" s="6">
        <f t="shared" si="47"/>
        <v>0</v>
      </c>
      <c r="P87" s="6">
        <f t="shared" si="47"/>
        <v>0</v>
      </c>
      <c r="Q87" s="6">
        <f t="shared" si="47"/>
        <v>0</v>
      </c>
      <c r="R87" s="6">
        <f t="shared" si="47"/>
        <v>0</v>
      </c>
      <c r="S87" s="6">
        <f t="shared" si="47"/>
        <v>0</v>
      </c>
    </row>
    <row r="88" spans="2:19" s="25" customFormat="1" ht="13.5" x14ac:dyDescent="0.2">
      <c r="B88" s="7" t="s">
        <v>109</v>
      </c>
      <c r="C88" s="8" t="s">
        <v>67</v>
      </c>
      <c r="D88" s="8" t="s">
        <v>9</v>
      </c>
      <c r="E88" s="8" t="s">
        <v>154</v>
      </c>
      <c r="F88" s="16">
        <f>60*8.5+180</f>
        <v>690</v>
      </c>
      <c r="G88" s="7" t="s">
        <v>198</v>
      </c>
      <c r="H88" s="6">
        <f t="shared" ref="H88:S88" si="48">$F88*H65*H67</f>
        <v>57960</v>
      </c>
      <c r="I88" s="6">
        <f t="shared" si="48"/>
        <v>231840</v>
      </c>
      <c r="J88" s="6">
        <f t="shared" si="48"/>
        <v>231840</v>
      </c>
      <c r="K88" s="6">
        <f t="shared" si="48"/>
        <v>231840</v>
      </c>
      <c r="L88" s="6">
        <f t="shared" si="48"/>
        <v>231840</v>
      </c>
      <c r="M88" s="6">
        <f t="shared" si="48"/>
        <v>231840</v>
      </c>
      <c r="N88" s="6">
        <f t="shared" si="48"/>
        <v>231840</v>
      </c>
      <c r="O88" s="6">
        <f t="shared" si="48"/>
        <v>231840</v>
      </c>
      <c r="P88" s="6">
        <f t="shared" si="48"/>
        <v>231840</v>
      </c>
      <c r="Q88" s="6">
        <f t="shared" si="48"/>
        <v>231840</v>
      </c>
      <c r="R88" s="6">
        <f t="shared" si="48"/>
        <v>231840</v>
      </c>
      <c r="S88" s="6">
        <f t="shared" si="48"/>
        <v>57960</v>
      </c>
    </row>
    <row r="89" spans="2:19" s="25" customFormat="1" ht="13.5" x14ac:dyDescent="0.2">
      <c r="B89" s="7" t="s">
        <v>110</v>
      </c>
      <c r="C89" s="8" t="s">
        <v>492</v>
      </c>
      <c r="D89" s="8" t="s">
        <v>466</v>
      </c>
      <c r="E89" s="27" t="s">
        <v>471</v>
      </c>
      <c r="F89" s="16">
        <f>'[2]Zákaznícke služby (alt.2)'!$G$77</f>
        <v>18701</v>
      </c>
      <c r="G89" s="7" t="s">
        <v>473</v>
      </c>
      <c r="H89" s="6">
        <f t="shared" ref="H89:S89" si="49">$F89*H$71*H$67*$H65</f>
        <v>1634347.7136000001</v>
      </c>
      <c r="I89" s="6">
        <f t="shared" si="49"/>
        <v>6668138.6714879991</v>
      </c>
      <c r="J89" s="6">
        <f t="shared" si="49"/>
        <v>6801501.4449177599</v>
      </c>
      <c r="K89" s="6">
        <f t="shared" si="49"/>
        <v>6937531.4738161154</v>
      </c>
      <c r="L89" s="6">
        <f t="shared" si="49"/>
        <v>7076282.1032924382</v>
      </c>
      <c r="M89" s="6">
        <f t="shared" si="49"/>
        <v>7217807.7453582846</v>
      </c>
      <c r="N89" s="6">
        <f t="shared" si="49"/>
        <v>7362163.9002654525</v>
      </c>
      <c r="O89" s="6">
        <f t="shared" si="49"/>
        <v>7509407.1782707609</v>
      </c>
      <c r="P89" s="6">
        <f t="shared" si="49"/>
        <v>7659595.3218361754</v>
      </c>
      <c r="Q89" s="6">
        <f t="shared" si="49"/>
        <v>7812787.2282728991</v>
      </c>
      <c r="R89" s="6">
        <f t="shared" si="49"/>
        <v>7969042.9728383571</v>
      </c>
      <c r="S89" s="6">
        <f t="shared" si="49"/>
        <v>2032105.9580737811</v>
      </c>
    </row>
    <row r="90" spans="2:19" s="25" customFormat="1" ht="27" x14ac:dyDescent="0.2">
      <c r="B90" s="7" t="s">
        <v>111</v>
      </c>
      <c r="C90" s="8" t="s">
        <v>68</v>
      </c>
      <c r="D90" s="8" t="s">
        <v>9</v>
      </c>
      <c r="E90" s="8" t="s">
        <v>155</v>
      </c>
      <c r="F90" s="16">
        <v>180</v>
      </c>
      <c r="G90" s="7" t="s">
        <v>198</v>
      </c>
      <c r="H90" s="6">
        <f>$F90*H$67*H$65</f>
        <v>15120</v>
      </c>
      <c r="I90" s="6">
        <f t="shared" ref="I90:S90" si="50">$F90*I67*I65</f>
        <v>60480</v>
      </c>
      <c r="J90" s="6">
        <f t="shared" si="50"/>
        <v>60480</v>
      </c>
      <c r="K90" s="6">
        <f t="shared" si="50"/>
        <v>60480</v>
      </c>
      <c r="L90" s="6">
        <f t="shared" si="50"/>
        <v>60480</v>
      </c>
      <c r="M90" s="6">
        <f t="shared" si="50"/>
        <v>60480</v>
      </c>
      <c r="N90" s="6">
        <f t="shared" si="50"/>
        <v>60480</v>
      </c>
      <c r="O90" s="6">
        <f t="shared" si="50"/>
        <v>60480</v>
      </c>
      <c r="P90" s="6">
        <f t="shared" si="50"/>
        <v>60480</v>
      </c>
      <c r="Q90" s="6">
        <f t="shared" si="50"/>
        <v>60480</v>
      </c>
      <c r="R90" s="6">
        <f t="shared" si="50"/>
        <v>60480</v>
      </c>
      <c r="S90" s="6">
        <f t="shared" si="50"/>
        <v>15120</v>
      </c>
    </row>
    <row r="91" spans="2:19" s="25" customFormat="1" ht="13.5" x14ac:dyDescent="0.2">
      <c r="B91" s="7" t="s">
        <v>112</v>
      </c>
      <c r="C91" s="8" t="s">
        <v>69</v>
      </c>
      <c r="D91" s="8" t="s">
        <v>9</v>
      </c>
      <c r="E91" s="8" t="s">
        <v>55</v>
      </c>
      <c r="F91" s="16">
        <f>4%*F87</f>
        <v>144</v>
      </c>
      <c r="G91" s="7" t="s">
        <v>198</v>
      </c>
      <c r="H91" s="6">
        <f>$F91*H$67*H$65</f>
        <v>12096</v>
      </c>
      <c r="I91" s="6">
        <f t="shared" ref="I91:S91" si="51">$F91*I$67*I$65</f>
        <v>48384</v>
      </c>
      <c r="J91" s="6">
        <f t="shared" si="51"/>
        <v>48384</v>
      </c>
      <c r="K91" s="6">
        <f t="shared" si="51"/>
        <v>48384</v>
      </c>
      <c r="L91" s="6">
        <f t="shared" si="51"/>
        <v>48384</v>
      </c>
      <c r="M91" s="6">
        <f t="shared" si="51"/>
        <v>48384</v>
      </c>
      <c r="N91" s="6">
        <f t="shared" si="51"/>
        <v>48384</v>
      </c>
      <c r="O91" s="6">
        <f t="shared" si="51"/>
        <v>48384</v>
      </c>
      <c r="P91" s="6">
        <f t="shared" si="51"/>
        <v>48384</v>
      </c>
      <c r="Q91" s="6">
        <f t="shared" si="51"/>
        <v>48384</v>
      </c>
      <c r="R91" s="6">
        <f t="shared" si="51"/>
        <v>48384</v>
      </c>
      <c r="S91" s="6">
        <f t="shared" si="51"/>
        <v>12096</v>
      </c>
    </row>
    <row r="92" spans="2:19" s="25" customFormat="1" ht="13.5" x14ac:dyDescent="0.2">
      <c r="B92" s="7" t="s">
        <v>113</v>
      </c>
      <c r="C92" s="8" t="s">
        <v>70</v>
      </c>
      <c r="D92" s="8" t="s">
        <v>66</v>
      </c>
      <c r="E92" s="8" t="s">
        <v>55</v>
      </c>
      <c r="F92" s="16">
        <f>4%*F87</f>
        <v>144</v>
      </c>
      <c r="G92" s="7" t="s">
        <v>186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>
        <f>$F92*S$65</f>
        <v>4032</v>
      </c>
    </row>
    <row r="93" spans="2:19" s="25" customFormat="1" ht="13.5" x14ac:dyDescent="0.2">
      <c r="B93" s="7" t="s">
        <v>114</v>
      </c>
      <c r="C93" s="8" t="s">
        <v>71</v>
      </c>
      <c r="D93" s="8" t="s">
        <v>72</v>
      </c>
      <c r="E93" s="8" t="s">
        <v>55</v>
      </c>
      <c r="F93" s="16">
        <f>4*F83+3600</f>
        <v>10800</v>
      </c>
      <c r="G93" s="7" t="s">
        <v>187</v>
      </c>
      <c r="H93" s="6">
        <f>F93*H66</f>
        <v>86400</v>
      </c>
      <c r="I93" s="6">
        <f t="shared" ref="I93:S93" si="52">$F93*(I66-H66)</f>
        <v>0</v>
      </c>
      <c r="J93" s="6">
        <f t="shared" si="52"/>
        <v>0</v>
      </c>
      <c r="K93" s="6">
        <f t="shared" si="52"/>
        <v>0</v>
      </c>
      <c r="L93" s="6">
        <f t="shared" si="52"/>
        <v>0</v>
      </c>
      <c r="M93" s="6">
        <f t="shared" si="52"/>
        <v>0</v>
      </c>
      <c r="N93" s="6">
        <f t="shared" si="52"/>
        <v>0</v>
      </c>
      <c r="O93" s="6">
        <f t="shared" si="52"/>
        <v>0</v>
      </c>
      <c r="P93" s="6">
        <f t="shared" si="52"/>
        <v>0</v>
      </c>
      <c r="Q93" s="6">
        <f t="shared" si="52"/>
        <v>0</v>
      </c>
      <c r="R93" s="6">
        <f t="shared" si="52"/>
        <v>0</v>
      </c>
      <c r="S93" s="6">
        <f t="shared" si="52"/>
        <v>0</v>
      </c>
    </row>
    <row r="94" spans="2:19" s="25" customFormat="1" ht="13.5" x14ac:dyDescent="0.2">
      <c r="B94" s="7" t="s">
        <v>115</v>
      </c>
      <c r="C94" s="8" t="s">
        <v>73</v>
      </c>
      <c r="D94" s="8" t="s">
        <v>11</v>
      </c>
      <c r="E94" s="8" t="s">
        <v>156</v>
      </c>
      <c r="F94" s="16">
        <f>80*12.5+180</f>
        <v>1180</v>
      </c>
      <c r="G94" s="7" t="s">
        <v>199</v>
      </c>
      <c r="H94" s="6">
        <f t="shared" ref="H94:S94" si="53">$F94*H67*H66</f>
        <v>28320</v>
      </c>
      <c r="I94" s="6">
        <f t="shared" si="53"/>
        <v>113280</v>
      </c>
      <c r="J94" s="6">
        <f t="shared" si="53"/>
        <v>113280</v>
      </c>
      <c r="K94" s="6">
        <f t="shared" si="53"/>
        <v>113280</v>
      </c>
      <c r="L94" s="6">
        <f t="shared" si="53"/>
        <v>113280</v>
      </c>
      <c r="M94" s="6">
        <f t="shared" si="53"/>
        <v>113280</v>
      </c>
      <c r="N94" s="6">
        <f t="shared" si="53"/>
        <v>113280</v>
      </c>
      <c r="O94" s="6">
        <f t="shared" si="53"/>
        <v>113280</v>
      </c>
      <c r="P94" s="6">
        <f t="shared" si="53"/>
        <v>113280</v>
      </c>
      <c r="Q94" s="6">
        <f t="shared" si="53"/>
        <v>113280</v>
      </c>
      <c r="R94" s="6">
        <f t="shared" si="53"/>
        <v>113280</v>
      </c>
      <c r="S94" s="6">
        <f t="shared" si="53"/>
        <v>28320</v>
      </c>
    </row>
    <row r="95" spans="2:19" s="25" customFormat="1" ht="27" x14ac:dyDescent="0.2">
      <c r="B95" s="7" t="s">
        <v>116</v>
      </c>
      <c r="C95" s="8" t="s">
        <v>74</v>
      </c>
      <c r="D95" s="8" t="s">
        <v>11</v>
      </c>
      <c r="E95" s="8" t="s">
        <v>155</v>
      </c>
      <c r="F95" s="16">
        <v>360</v>
      </c>
      <c r="G95" s="7" t="s">
        <v>199</v>
      </c>
      <c r="H95" s="6">
        <f t="shared" ref="H95:S96" si="54">$F95*H$67*H$66</f>
        <v>8640</v>
      </c>
      <c r="I95" s="6">
        <f t="shared" si="54"/>
        <v>34560</v>
      </c>
      <c r="J95" s="6">
        <f t="shared" si="54"/>
        <v>34560</v>
      </c>
      <c r="K95" s="6">
        <f t="shared" si="54"/>
        <v>34560</v>
      </c>
      <c r="L95" s="6">
        <f t="shared" si="54"/>
        <v>34560</v>
      </c>
      <c r="M95" s="6">
        <f t="shared" si="54"/>
        <v>34560</v>
      </c>
      <c r="N95" s="6">
        <f t="shared" si="54"/>
        <v>34560</v>
      </c>
      <c r="O95" s="6">
        <f t="shared" si="54"/>
        <v>34560</v>
      </c>
      <c r="P95" s="6">
        <f t="shared" si="54"/>
        <v>34560</v>
      </c>
      <c r="Q95" s="6">
        <f t="shared" si="54"/>
        <v>34560</v>
      </c>
      <c r="R95" s="6">
        <f t="shared" si="54"/>
        <v>34560</v>
      </c>
      <c r="S95" s="6">
        <f t="shared" si="54"/>
        <v>8640</v>
      </c>
    </row>
    <row r="96" spans="2:19" s="25" customFormat="1" ht="13.5" x14ac:dyDescent="0.2">
      <c r="B96" s="7" t="s">
        <v>117</v>
      </c>
      <c r="C96" s="8" t="s">
        <v>75</v>
      </c>
      <c r="D96" s="8" t="s">
        <v>11</v>
      </c>
      <c r="E96" s="8" t="s">
        <v>55</v>
      </c>
      <c r="F96" s="16">
        <f>F93*4%</f>
        <v>432</v>
      </c>
      <c r="G96" s="7" t="s">
        <v>199</v>
      </c>
      <c r="H96" s="6">
        <f t="shared" si="54"/>
        <v>10368</v>
      </c>
      <c r="I96" s="6">
        <f t="shared" si="54"/>
        <v>41472</v>
      </c>
      <c r="J96" s="6">
        <f t="shared" si="54"/>
        <v>41472</v>
      </c>
      <c r="K96" s="6">
        <f t="shared" si="54"/>
        <v>41472</v>
      </c>
      <c r="L96" s="6">
        <f t="shared" si="54"/>
        <v>41472</v>
      </c>
      <c r="M96" s="6">
        <f t="shared" si="54"/>
        <v>41472</v>
      </c>
      <c r="N96" s="6">
        <f t="shared" si="54"/>
        <v>41472</v>
      </c>
      <c r="O96" s="6">
        <f t="shared" si="54"/>
        <v>41472</v>
      </c>
      <c r="P96" s="6">
        <f t="shared" si="54"/>
        <v>41472</v>
      </c>
      <c r="Q96" s="6">
        <f t="shared" si="54"/>
        <v>41472</v>
      </c>
      <c r="R96" s="6">
        <f t="shared" si="54"/>
        <v>41472</v>
      </c>
      <c r="S96" s="6">
        <f t="shared" si="54"/>
        <v>10368</v>
      </c>
    </row>
    <row r="97" spans="2:19" s="25" customFormat="1" ht="13.5" x14ac:dyDescent="0.2">
      <c r="B97" s="7" t="s">
        <v>118</v>
      </c>
      <c r="C97" s="8" t="s">
        <v>76</v>
      </c>
      <c r="D97" s="8" t="s">
        <v>72</v>
      </c>
      <c r="E97" s="8" t="s">
        <v>55</v>
      </c>
      <c r="F97" s="16">
        <f>4%*F93</f>
        <v>432</v>
      </c>
      <c r="G97" s="7" t="s">
        <v>187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>
        <f>$F97*S$66</f>
        <v>3456</v>
      </c>
    </row>
    <row r="98" spans="2:19" s="25" customFormat="1" ht="13.5" x14ac:dyDescent="0.2">
      <c r="B98" s="7" t="s">
        <v>119</v>
      </c>
      <c r="C98" s="8" t="s">
        <v>77</v>
      </c>
      <c r="D98" s="8" t="s">
        <v>78</v>
      </c>
      <c r="E98" s="8"/>
      <c r="F98" s="16">
        <v>600000</v>
      </c>
      <c r="G98" s="7"/>
      <c r="H98" s="6">
        <f>F98</f>
        <v>600000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2:19" s="25" customFormat="1" ht="13.5" x14ac:dyDescent="0.2">
      <c r="B99" s="7" t="s">
        <v>120</v>
      </c>
      <c r="C99" s="8" t="s">
        <v>79</v>
      </c>
      <c r="D99" s="8" t="s">
        <v>13</v>
      </c>
      <c r="E99" s="8" t="s">
        <v>157</v>
      </c>
      <c r="F99" s="16">
        <f>120*12.5+360</f>
        <v>1860</v>
      </c>
      <c r="G99" s="7" t="s">
        <v>188</v>
      </c>
      <c r="H99" s="6">
        <f>$F99*H$67</f>
        <v>5580</v>
      </c>
      <c r="I99" s="6">
        <f t="shared" ref="I99:S101" si="55">$F99*I$67</f>
        <v>22320</v>
      </c>
      <c r="J99" s="6">
        <f t="shared" si="55"/>
        <v>22320</v>
      </c>
      <c r="K99" s="6">
        <f t="shared" si="55"/>
        <v>22320</v>
      </c>
      <c r="L99" s="6">
        <f t="shared" si="55"/>
        <v>22320</v>
      </c>
      <c r="M99" s="6">
        <f t="shared" si="55"/>
        <v>22320</v>
      </c>
      <c r="N99" s="6">
        <f t="shared" si="55"/>
        <v>22320</v>
      </c>
      <c r="O99" s="6">
        <f t="shared" si="55"/>
        <v>22320</v>
      </c>
      <c r="P99" s="6">
        <f t="shared" si="55"/>
        <v>22320</v>
      </c>
      <c r="Q99" s="6">
        <f t="shared" si="55"/>
        <v>22320</v>
      </c>
      <c r="R99" s="6">
        <f t="shared" si="55"/>
        <v>22320</v>
      </c>
      <c r="S99" s="6">
        <f t="shared" si="55"/>
        <v>5580</v>
      </c>
    </row>
    <row r="100" spans="2:19" s="25" customFormat="1" ht="13.5" x14ac:dyDescent="0.2">
      <c r="B100" s="7" t="s">
        <v>121</v>
      </c>
      <c r="C100" s="8" t="s">
        <v>80</v>
      </c>
      <c r="D100" s="8" t="s">
        <v>13</v>
      </c>
      <c r="E100" s="8" t="s">
        <v>158</v>
      </c>
      <c r="F100" s="16">
        <v>300</v>
      </c>
      <c r="G100" s="7" t="s">
        <v>188</v>
      </c>
      <c r="H100" s="6">
        <f t="shared" ref="H100:H101" si="56">$F100*H$67</f>
        <v>900</v>
      </c>
      <c r="I100" s="6">
        <f t="shared" si="55"/>
        <v>3600</v>
      </c>
      <c r="J100" s="6">
        <f t="shared" si="55"/>
        <v>3600</v>
      </c>
      <c r="K100" s="6">
        <f t="shared" si="55"/>
        <v>3600</v>
      </c>
      <c r="L100" s="6">
        <f t="shared" si="55"/>
        <v>3600</v>
      </c>
      <c r="M100" s="6">
        <f t="shared" si="55"/>
        <v>3600</v>
      </c>
      <c r="N100" s="6">
        <f t="shared" si="55"/>
        <v>3600</v>
      </c>
      <c r="O100" s="6">
        <f t="shared" si="55"/>
        <v>3600</v>
      </c>
      <c r="P100" s="6">
        <f t="shared" si="55"/>
        <v>3600</v>
      </c>
      <c r="Q100" s="6">
        <f t="shared" si="55"/>
        <v>3600</v>
      </c>
      <c r="R100" s="6">
        <f t="shared" si="55"/>
        <v>3600</v>
      </c>
      <c r="S100" s="6">
        <f t="shared" si="55"/>
        <v>900</v>
      </c>
    </row>
    <row r="101" spans="2:19" s="25" customFormat="1" ht="13.5" x14ac:dyDescent="0.2">
      <c r="B101" s="7" t="s">
        <v>122</v>
      </c>
      <c r="C101" s="8" t="s">
        <v>81</v>
      </c>
      <c r="D101" s="8" t="s">
        <v>13</v>
      </c>
      <c r="E101" s="8" t="s">
        <v>55</v>
      </c>
      <c r="F101" s="16">
        <f>4%*F98/12</f>
        <v>2000</v>
      </c>
      <c r="G101" s="7" t="s">
        <v>188</v>
      </c>
      <c r="H101" s="6">
        <f t="shared" si="56"/>
        <v>6000</v>
      </c>
      <c r="I101" s="6">
        <f t="shared" si="55"/>
        <v>24000</v>
      </c>
      <c r="J101" s="6">
        <f t="shared" si="55"/>
        <v>24000</v>
      </c>
      <c r="K101" s="6">
        <f t="shared" si="55"/>
        <v>24000</v>
      </c>
      <c r="L101" s="6">
        <f t="shared" si="55"/>
        <v>24000</v>
      </c>
      <c r="M101" s="6">
        <f t="shared" si="55"/>
        <v>24000</v>
      </c>
      <c r="N101" s="6">
        <f t="shared" si="55"/>
        <v>24000</v>
      </c>
      <c r="O101" s="6">
        <f t="shared" si="55"/>
        <v>24000</v>
      </c>
      <c r="P101" s="6">
        <f t="shared" si="55"/>
        <v>24000</v>
      </c>
      <c r="Q101" s="6">
        <f t="shared" si="55"/>
        <v>24000</v>
      </c>
      <c r="R101" s="6">
        <f t="shared" si="55"/>
        <v>24000</v>
      </c>
      <c r="S101" s="6">
        <f t="shared" si="55"/>
        <v>6000</v>
      </c>
    </row>
    <row r="102" spans="2:19" s="25" customFormat="1" ht="13.5" x14ac:dyDescent="0.2">
      <c r="B102" s="7" t="s">
        <v>123</v>
      </c>
      <c r="C102" s="8" t="s">
        <v>82</v>
      </c>
      <c r="D102" s="8" t="s">
        <v>78</v>
      </c>
      <c r="E102" s="8" t="s">
        <v>55</v>
      </c>
      <c r="F102" s="16">
        <f>2%*F98</f>
        <v>12000</v>
      </c>
      <c r="G102" s="7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>
        <f>F102</f>
        <v>12000</v>
      </c>
    </row>
    <row r="103" spans="2:19" s="25" customFormat="1" ht="13.5" x14ac:dyDescent="0.2">
      <c r="B103" s="7" t="s">
        <v>124</v>
      </c>
      <c r="C103" s="8" t="s">
        <v>83</v>
      </c>
      <c r="D103" s="8" t="s">
        <v>78</v>
      </c>
      <c r="E103" s="8" t="s">
        <v>55</v>
      </c>
      <c r="F103" s="16">
        <v>360000</v>
      </c>
      <c r="G103" s="7"/>
      <c r="H103" s="6">
        <f>F103</f>
        <v>360000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2:19" s="25" customFormat="1" ht="27" x14ac:dyDescent="0.2">
      <c r="B104" s="7" t="s">
        <v>125</v>
      </c>
      <c r="C104" s="8" t="s">
        <v>84</v>
      </c>
      <c r="D104" s="8" t="s">
        <v>13</v>
      </c>
      <c r="E104" s="8" t="s">
        <v>159</v>
      </c>
      <c r="F104" s="16">
        <f>120*12.5+360</f>
        <v>1860</v>
      </c>
      <c r="G104" s="7" t="s">
        <v>188</v>
      </c>
      <c r="H104" s="6">
        <f t="shared" ref="H104:S107" si="57">$F104*H$67</f>
        <v>5580</v>
      </c>
      <c r="I104" s="6">
        <f t="shared" si="57"/>
        <v>22320</v>
      </c>
      <c r="J104" s="6">
        <f t="shared" si="57"/>
        <v>22320</v>
      </c>
      <c r="K104" s="6">
        <f t="shared" si="57"/>
        <v>22320</v>
      </c>
      <c r="L104" s="6">
        <f t="shared" si="57"/>
        <v>22320</v>
      </c>
      <c r="M104" s="6">
        <f t="shared" si="57"/>
        <v>22320</v>
      </c>
      <c r="N104" s="6">
        <f t="shared" si="57"/>
        <v>22320</v>
      </c>
      <c r="O104" s="6">
        <f t="shared" si="57"/>
        <v>22320</v>
      </c>
      <c r="P104" s="6">
        <f t="shared" si="57"/>
        <v>22320</v>
      </c>
      <c r="Q104" s="6">
        <f t="shared" si="57"/>
        <v>22320</v>
      </c>
      <c r="R104" s="6">
        <f t="shared" si="57"/>
        <v>22320</v>
      </c>
      <c r="S104" s="6">
        <f t="shared" si="57"/>
        <v>5580</v>
      </c>
    </row>
    <row r="105" spans="2:19" s="25" customFormat="1" ht="13.5" x14ac:dyDescent="0.2">
      <c r="B105" s="7" t="s">
        <v>126</v>
      </c>
      <c r="C105" s="8" t="s">
        <v>493</v>
      </c>
      <c r="D105" s="8" t="s">
        <v>466</v>
      </c>
      <c r="E105" s="27" t="s">
        <v>471</v>
      </c>
      <c r="F105" s="16">
        <f>'[2]Zákaznícke služby (alt.2)'!$G$108</f>
        <v>51930</v>
      </c>
      <c r="G105" s="7" t="s">
        <v>473</v>
      </c>
      <c r="H105" s="6">
        <f>$F105*H$71*H$70</f>
        <v>324167.83199999999</v>
      </c>
      <c r="I105" s="6">
        <f t="shared" ref="I105:S105" si="58">$F105*I$71*I$70</f>
        <v>661302.37728000002</v>
      </c>
      <c r="J105" s="6">
        <f t="shared" si="58"/>
        <v>674528.4248256</v>
      </c>
      <c r="K105" s="6">
        <f t="shared" si="58"/>
        <v>688018.99332211202</v>
      </c>
      <c r="L105" s="6">
        <f t="shared" si="58"/>
        <v>701779.37318855431</v>
      </c>
      <c r="M105" s="6">
        <f t="shared" si="58"/>
        <v>715814.96065232519</v>
      </c>
      <c r="N105" s="6">
        <f t="shared" si="58"/>
        <v>730131.25986537174</v>
      </c>
      <c r="O105" s="6">
        <f t="shared" si="58"/>
        <v>744733.88506267918</v>
      </c>
      <c r="P105" s="6">
        <f t="shared" si="58"/>
        <v>759628.56276393286</v>
      </c>
      <c r="Q105" s="6">
        <f t="shared" si="58"/>
        <v>774821.1340192114</v>
      </c>
      <c r="R105" s="6">
        <f t="shared" si="58"/>
        <v>790317.55669959565</v>
      </c>
      <c r="S105" s="6">
        <f t="shared" si="58"/>
        <v>403061.95391679381</v>
      </c>
    </row>
    <row r="106" spans="2:19" s="25" customFormat="1" ht="27" x14ac:dyDescent="0.2">
      <c r="B106" s="7" t="s">
        <v>127</v>
      </c>
      <c r="C106" s="8" t="s">
        <v>85</v>
      </c>
      <c r="D106" s="8" t="s">
        <v>13</v>
      </c>
      <c r="E106" s="8" t="s">
        <v>158</v>
      </c>
      <c r="F106" s="16">
        <v>300</v>
      </c>
      <c r="G106" s="7" t="s">
        <v>188</v>
      </c>
      <c r="H106" s="6">
        <f t="shared" si="57"/>
        <v>900</v>
      </c>
      <c r="I106" s="6">
        <f t="shared" si="57"/>
        <v>3600</v>
      </c>
      <c r="J106" s="6">
        <f t="shared" si="57"/>
        <v>3600</v>
      </c>
      <c r="K106" s="6">
        <f t="shared" si="57"/>
        <v>3600</v>
      </c>
      <c r="L106" s="6">
        <f t="shared" si="57"/>
        <v>3600</v>
      </c>
      <c r="M106" s="6">
        <f t="shared" si="57"/>
        <v>3600</v>
      </c>
      <c r="N106" s="6">
        <f t="shared" si="57"/>
        <v>3600</v>
      </c>
      <c r="O106" s="6">
        <f t="shared" si="57"/>
        <v>3600</v>
      </c>
      <c r="P106" s="6">
        <f t="shared" si="57"/>
        <v>3600</v>
      </c>
      <c r="Q106" s="6">
        <f t="shared" si="57"/>
        <v>3600</v>
      </c>
      <c r="R106" s="6">
        <f t="shared" si="57"/>
        <v>3600</v>
      </c>
      <c r="S106" s="6">
        <f t="shared" si="57"/>
        <v>900</v>
      </c>
    </row>
    <row r="107" spans="2:19" s="25" customFormat="1" ht="27" x14ac:dyDescent="0.2">
      <c r="B107" s="7" t="s">
        <v>128</v>
      </c>
      <c r="C107" s="8" t="s">
        <v>86</v>
      </c>
      <c r="D107" s="8" t="s">
        <v>13</v>
      </c>
      <c r="E107" s="8" t="s">
        <v>55</v>
      </c>
      <c r="F107" s="16">
        <f>4%*F103/12</f>
        <v>1200</v>
      </c>
      <c r="G107" s="7" t="s">
        <v>188</v>
      </c>
      <c r="H107" s="6">
        <f t="shared" si="57"/>
        <v>3600</v>
      </c>
      <c r="I107" s="6">
        <f t="shared" si="57"/>
        <v>14400</v>
      </c>
      <c r="J107" s="6">
        <f t="shared" si="57"/>
        <v>14400</v>
      </c>
      <c r="K107" s="6">
        <f t="shared" si="57"/>
        <v>14400</v>
      </c>
      <c r="L107" s="6">
        <f t="shared" si="57"/>
        <v>14400</v>
      </c>
      <c r="M107" s="6">
        <f t="shared" si="57"/>
        <v>14400</v>
      </c>
      <c r="N107" s="6">
        <f t="shared" si="57"/>
        <v>14400</v>
      </c>
      <c r="O107" s="6">
        <f t="shared" si="57"/>
        <v>14400</v>
      </c>
      <c r="P107" s="6">
        <f t="shared" si="57"/>
        <v>14400</v>
      </c>
      <c r="Q107" s="6">
        <f t="shared" si="57"/>
        <v>14400</v>
      </c>
      <c r="R107" s="6">
        <f t="shared" si="57"/>
        <v>14400</v>
      </c>
      <c r="S107" s="6">
        <f t="shared" si="57"/>
        <v>3600</v>
      </c>
    </row>
    <row r="108" spans="2:19" s="25" customFormat="1" ht="13.5" x14ac:dyDescent="0.2">
      <c r="B108" s="7" t="s">
        <v>129</v>
      </c>
      <c r="C108" s="8" t="s">
        <v>87</v>
      </c>
      <c r="D108" s="8" t="s">
        <v>78</v>
      </c>
      <c r="E108" s="8" t="s">
        <v>55</v>
      </c>
      <c r="F108" s="16">
        <f>2%*F103</f>
        <v>7200</v>
      </c>
      <c r="G108" s="7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>
        <f>F108</f>
        <v>7200</v>
      </c>
    </row>
    <row r="109" spans="2:19" s="25" customFormat="1" ht="13.5" x14ac:dyDescent="0.2">
      <c r="B109" s="7" t="s">
        <v>130</v>
      </c>
      <c r="C109" s="8" t="s">
        <v>88</v>
      </c>
      <c r="D109" s="8" t="s">
        <v>13</v>
      </c>
      <c r="E109" s="8" t="s">
        <v>55</v>
      </c>
      <c r="F109" s="16">
        <v>40000</v>
      </c>
      <c r="G109" s="7" t="s">
        <v>188</v>
      </c>
      <c r="H109" s="6">
        <f>H69*$F109</f>
        <v>240000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>
        <f>S69*$F109</f>
        <v>120000</v>
      </c>
    </row>
    <row r="110" spans="2:19" s="25" customFormat="1" ht="27" x14ac:dyDescent="0.2">
      <c r="B110" s="7" t="s">
        <v>131</v>
      </c>
      <c r="C110" s="8" t="s">
        <v>89</v>
      </c>
      <c r="D110" s="8" t="s">
        <v>13</v>
      </c>
      <c r="E110" s="8" t="s">
        <v>157</v>
      </c>
      <c r="F110" s="16">
        <f>120*12.5+360</f>
        <v>1860</v>
      </c>
      <c r="G110" s="7" t="s">
        <v>188</v>
      </c>
      <c r="H110" s="6">
        <f t="shared" ref="H110:S116" si="59">$F110*H$67</f>
        <v>5580</v>
      </c>
      <c r="I110" s="6">
        <f t="shared" si="59"/>
        <v>22320</v>
      </c>
      <c r="J110" s="6">
        <f t="shared" si="59"/>
        <v>22320</v>
      </c>
      <c r="K110" s="6">
        <f t="shared" si="59"/>
        <v>22320</v>
      </c>
      <c r="L110" s="6">
        <f t="shared" si="59"/>
        <v>22320</v>
      </c>
      <c r="M110" s="6">
        <f t="shared" si="59"/>
        <v>22320</v>
      </c>
      <c r="N110" s="6">
        <f t="shared" si="59"/>
        <v>22320</v>
      </c>
      <c r="O110" s="6">
        <f t="shared" si="59"/>
        <v>22320</v>
      </c>
      <c r="P110" s="6">
        <f t="shared" si="59"/>
        <v>22320</v>
      </c>
      <c r="Q110" s="6">
        <f t="shared" si="59"/>
        <v>22320</v>
      </c>
      <c r="R110" s="6">
        <f t="shared" si="59"/>
        <v>22320</v>
      </c>
      <c r="S110" s="6">
        <f t="shared" si="59"/>
        <v>5580</v>
      </c>
    </row>
    <row r="111" spans="2:19" s="25" customFormat="1" ht="27" x14ac:dyDescent="0.2">
      <c r="B111" s="7" t="s">
        <v>132</v>
      </c>
      <c r="C111" s="8" t="s">
        <v>472</v>
      </c>
      <c r="D111" s="8" t="s">
        <v>466</v>
      </c>
      <c r="E111" s="27" t="s">
        <v>471</v>
      </c>
      <c r="F111" s="16">
        <f>'[2]Zákaznícke služby (alt.2)'!$G$60</f>
        <v>132696</v>
      </c>
      <c r="G111" s="7" t="s">
        <v>473</v>
      </c>
      <c r="H111" s="6">
        <f>$F111*H$71*H$70</f>
        <v>828341.51040000003</v>
      </c>
      <c r="I111" s="6">
        <f t="shared" ref="I111:S111" si="60">$F111*I$71*I$70</f>
        <v>1689816.6812159996</v>
      </c>
      <c r="J111" s="6">
        <f t="shared" si="60"/>
        <v>1723613.0148403202</v>
      </c>
      <c r="K111" s="6">
        <f t="shared" si="60"/>
        <v>1758085.2751371264</v>
      </c>
      <c r="L111" s="6">
        <f t="shared" si="60"/>
        <v>1793246.9806398691</v>
      </c>
      <c r="M111" s="6">
        <f t="shared" si="60"/>
        <v>1829111.9202526659</v>
      </c>
      <c r="N111" s="6">
        <f t="shared" si="60"/>
        <v>1865694.1586577196</v>
      </c>
      <c r="O111" s="6">
        <f t="shared" si="60"/>
        <v>1903008.041830874</v>
      </c>
      <c r="P111" s="6">
        <f t="shared" si="60"/>
        <v>1941068.2026674915</v>
      </c>
      <c r="Q111" s="6">
        <f t="shared" si="60"/>
        <v>1979889.5667208408</v>
      </c>
      <c r="R111" s="6">
        <f t="shared" si="60"/>
        <v>2019487.3580552582</v>
      </c>
      <c r="S111" s="6">
        <f t="shared" si="60"/>
        <v>1029938.5526081815</v>
      </c>
    </row>
    <row r="112" spans="2:19" s="25" customFormat="1" ht="27" x14ac:dyDescent="0.2">
      <c r="B112" s="7" t="s">
        <v>133</v>
      </c>
      <c r="C112" s="8" t="s">
        <v>90</v>
      </c>
      <c r="D112" s="8" t="s">
        <v>13</v>
      </c>
      <c r="E112" s="8" t="s">
        <v>158</v>
      </c>
      <c r="F112" s="16">
        <v>600</v>
      </c>
      <c r="G112" s="7" t="s">
        <v>188</v>
      </c>
      <c r="H112" s="6">
        <f t="shared" si="59"/>
        <v>1800</v>
      </c>
      <c r="I112" s="6">
        <f t="shared" si="59"/>
        <v>7200</v>
      </c>
      <c r="J112" s="6">
        <f t="shared" si="59"/>
        <v>7200</v>
      </c>
      <c r="K112" s="6">
        <f t="shared" si="59"/>
        <v>7200</v>
      </c>
      <c r="L112" s="6">
        <f t="shared" si="59"/>
        <v>7200</v>
      </c>
      <c r="M112" s="6">
        <f t="shared" si="59"/>
        <v>7200</v>
      </c>
      <c r="N112" s="6">
        <f t="shared" si="59"/>
        <v>7200</v>
      </c>
      <c r="O112" s="6">
        <f t="shared" si="59"/>
        <v>7200</v>
      </c>
      <c r="P112" s="6">
        <f t="shared" si="59"/>
        <v>7200</v>
      </c>
      <c r="Q112" s="6">
        <f t="shared" si="59"/>
        <v>7200</v>
      </c>
      <c r="R112" s="6">
        <f t="shared" si="59"/>
        <v>7200</v>
      </c>
      <c r="S112" s="6">
        <f t="shared" si="59"/>
        <v>1800</v>
      </c>
    </row>
    <row r="113" spans="2:19" s="25" customFormat="1" ht="13.5" x14ac:dyDescent="0.2">
      <c r="B113" s="7" t="s">
        <v>134</v>
      </c>
      <c r="C113" s="8" t="s">
        <v>91</v>
      </c>
      <c r="D113" s="8" t="s">
        <v>78</v>
      </c>
      <c r="E113" s="8" t="s">
        <v>55</v>
      </c>
      <c r="F113" s="16">
        <f>2*960000/3</f>
        <v>640000</v>
      </c>
      <c r="G113" s="7"/>
      <c r="H113" s="6">
        <f>F113</f>
        <v>640000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2:19" s="25" customFormat="1" ht="13.5" x14ac:dyDescent="0.2">
      <c r="B114" s="7" t="s">
        <v>135</v>
      </c>
      <c r="C114" s="8" t="s">
        <v>92</v>
      </c>
      <c r="D114" s="8" t="s">
        <v>13</v>
      </c>
      <c r="E114" s="8" t="s">
        <v>160</v>
      </c>
      <c r="F114" s="16">
        <f>48*12.5+360</f>
        <v>960</v>
      </c>
      <c r="G114" s="7" t="s">
        <v>188</v>
      </c>
      <c r="H114" s="6">
        <f t="shared" si="59"/>
        <v>2880</v>
      </c>
      <c r="I114" s="6">
        <f t="shared" si="59"/>
        <v>11520</v>
      </c>
      <c r="J114" s="6">
        <f t="shared" si="59"/>
        <v>11520</v>
      </c>
      <c r="K114" s="6">
        <f t="shared" si="59"/>
        <v>11520</v>
      </c>
      <c r="L114" s="6">
        <f t="shared" si="59"/>
        <v>11520</v>
      </c>
      <c r="M114" s="6">
        <f t="shared" si="59"/>
        <v>11520</v>
      </c>
      <c r="N114" s="6">
        <f t="shared" si="59"/>
        <v>11520</v>
      </c>
      <c r="O114" s="6">
        <f t="shared" si="59"/>
        <v>11520</v>
      </c>
      <c r="P114" s="6">
        <f t="shared" si="59"/>
        <v>11520</v>
      </c>
      <c r="Q114" s="6">
        <f t="shared" si="59"/>
        <v>11520</v>
      </c>
      <c r="R114" s="6">
        <f t="shared" si="59"/>
        <v>11520</v>
      </c>
      <c r="S114" s="6">
        <f t="shared" si="59"/>
        <v>2880</v>
      </c>
    </row>
    <row r="115" spans="2:19" s="25" customFormat="1" ht="13.5" x14ac:dyDescent="0.2">
      <c r="B115" s="7" t="s">
        <v>136</v>
      </c>
      <c r="C115" s="8" t="s">
        <v>93</v>
      </c>
      <c r="D115" s="8" t="s">
        <v>13</v>
      </c>
      <c r="E115" s="8" t="s">
        <v>158</v>
      </c>
      <c r="F115" s="16">
        <v>360</v>
      </c>
      <c r="G115" s="7" t="s">
        <v>188</v>
      </c>
      <c r="H115" s="6">
        <f t="shared" si="59"/>
        <v>1080</v>
      </c>
      <c r="I115" s="6">
        <f t="shared" si="59"/>
        <v>4320</v>
      </c>
      <c r="J115" s="6">
        <f t="shared" si="59"/>
        <v>4320</v>
      </c>
      <c r="K115" s="6">
        <f t="shared" si="59"/>
        <v>4320</v>
      </c>
      <c r="L115" s="6">
        <f t="shared" si="59"/>
        <v>4320</v>
      </c>
      <c r="M115" s="6">
        <f t="shared" si="59"/>
        <v>4320</v>
      </c>
      <c r="N115" s="6">
        <f t="shared" si="59"/>
        <v>4320</v>
      </c>
      <c r="O115" s="6">
        <f t="shared" si="59"/>
        <v>4320</v>
      </c>
      <c r="P115" s="6">
        <f t="shared" si="59"/>
        <v>4320</v>
      </c>
      <c r="Q115" s="6">
        <f t="shared" si="59"/>
        <v>4320</v>
      </c>
      <c r="R115" s="6">
        <f t="shared" si="59"/>
        <v>4320</v>
      </c>
      <c r="S115" s="6">
        <f t="shared" si="59"/>
        <v>1080</v>
      </c>
    </row>
    <row r="116" spans="2:19" s="25" customFormat="1" ht="13.5" x14ac:dyDescent="0.2">
      <c r="B116" s="7" t="s">
        <v>137</v>
      </c>
      <c r="C116" s="8" t="s">
        <v>94</v>
      </c>
      <c r="D116" s="8" t="s">
        <v>13</v>
      </c>
      <c r="E116" s="8" t="s">
        <v>55</v>
      </c>
      <c r="F116" s="16">
        <f>ROUND(4%*F113/12,-2)</f>
        <v>2100</v>
      </c>
      <c r="G116" s="7" t="s">
        <v>188</v>
      </c>
      <c r="H116" s="6">
        <f t="shared" si="59"/>
        <v>6300</v>
      </c>
      <c r="I116" s="6">
        <f t="shared" si="59"/>
        <v>25200</v>
      </c>
      <c r="J116" s="6">
        <f t="shared" si="59"/>
        <v>25200</v>
      </c>
      <c r="K116" s="6">
        <f t="shared" si="59"/>
        <v>25200</v>
      </c>
      <c r="L116" s="6">
        <f t="shared" si="59"/>
        <v>25200</v>
      </c>
      <c r="M116" s="6">
        <f t="shared" si="59"/>
        <v>25200</v>
      </c>
      <c r="N116" s="6">
        <f t="shared" si="59"/>
        <v>25200</v>
      </c>
      <c r="O116" s="6">
        <f t="shared" si="59"/>
        <v>25200</v>
      </c>
      <c r="P116" s="6">
        <f t="shared" si="59"/>
        <v>25200</v>
      </c>
      <c r="Q116" s="6">
        <f t="shared" si="59"/>
        <v>25200</v>
      </c>
      <c r="R116" s="6">
        <f t="shared" si="59"/>
        <v>25200</v>
      </c>
      <c r="S116" s="6">
        <f t="shared" si="59"/>
        <v>6300</v>
      </c>
    </row>
    <row r="117" spans="2:19" s="25" customFormat="1" ht="13.5" x14ac:dyDescent="0.2">
      <c r="B117" s="7" t="s">
        <v>138</v>
      </c>
      <c r="C117" s="8" t="s">
        <v>95</v>
      </c>
      <c r="D117" s="8" t="s">
        <v>78</v>
      </c>
      <c r="E117" s="8" t="s">
        <v>55</v>
      </c>
      <c r="F117" s="16">
        <f>2%*F113</f>
        <v>12800</v>
      </c>
      <c r="G117" s="7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>
        <f>F117</f>
        <v>12800</v>
      </c>
    </row>
    <row r="118" spans="2:19" s="25" customFormat="1" ht="27" x14ac:dyDescent="0.2">
      <c r="B118" s="7" t="s">
        <v>139</v>
      </c>
      <c r="C118" s="8" t="s">
        <v>17</v>
      </c>
      <c r="D118" s="8" t="s">
        <v>18</v>
      </c>
      <c r="E118" s="8" t="s">
        <v>54</v>
      </c>
      <c r="F118" s="9">
        <v>2.75E-2</v>
      </c>
      <c r="G118" s="7" t="s">
        <v>196</v>
      </c>
      <c r="H118" s="6"/>
      <c r="I118" s="6">
        <f t="shared" ref="I118:R118" si="61">$F118*I76</f>
        <v>5458080.8092535585</v>
      </c>
      <c r="J118" s="6">
        <f t="shared" si="61"/>
        <v>5262624.0793029014</v>
      </c>
      <c r="K118" s="6">
        <f t="shared" si="61"/>
        <v>4762553.4775209241</v>
      </c>
      <c r="L118" s="6">
        <f t="shared" si="61"/>
        <v>4258995.9925275268</v>
      </c>
      <c r="M118" s="6">
        <f t="shared" si="61"/>
        <v>3706899.3493403201</v>
      </c>
      <c r="N118" s="6">
        <f t="shared" si="61"/>
        <v>3137975.3660196378</v>
      </c>
      <c r="O118" s="6">
        <f t="shared" si="61"/>
        <v>2880906.5075001772</v>
      </c>
      <c r="P118" s="6">
        <f t="shared" si="61"/>
        <v>2593240.648947936</v>
      </c>
      <c r="Q118" s="6">
        <f t="shared" si="61"/>
        <v>2459519.4524734914</v>
      </c>
      <c r="R118" s="6">
        <f t="shared" si="61"/>
        <v>2442579.1104896138</v>
      </c>
      <c r="S118" s="6"/>
    </row>
    <row r="119" spans="2:19" s="25" customFormat="1" ht="13.5" x14ac:dyDescent="0.2">
      <c r="B119" s="7" t="s">
        <v>140</v>
      </c>
      <c r="C119" s="8" t="s">
        <v>96</v>
      </c>
      <c r="D119" s="8" t="s">
        <v>78</v>
      </c>
      <c r="E119" s="8" t="s">
        <v>55</v>
      </c>
      <c r="F119" s="16">
        <v>16000</v>
      </c>
      <c r="G119" s="7"/>
      <c r="H119" s="6">
        <f>F119</f>
        <v>16000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2:19" s="25" customFormat="1" ht="27" x14ac:dyDescent="0.2">
      <c r="B120" s="7" t="s">
        <v>141</v>
      </c>
      <c r="C120" s="8" t="s">
        <v>97</v>
      </c>
      <c r="D120" s="8" t="s">
        <v>98</v>
      </c>
      <c r="E120" s="8" t="s">
        <v>55</v>
      </c>
      <c r="F120" s="16">
        <v>0.8</v>
      </c>
      <c r="G120" s="7" t="s">
        <v>193</v>
      </c>
      <c r="H120" s="6">
        <f t="shared" ref="H120:S120" si="62">$F120*H73</f>
        <v>4800</v>
      </c>
      <c r="I120" s="6">
        <f t="shared" si="62"/>
        <v>19200</v>
      </c>
      <c r="J120" s="6">
        <f t="shared" si="62"/>
        <v>19200</v>
      </c>
      <c r="K120" s="6">
        <f t="shared" si="62"/>
        <v>19200</v>
      </c>
      <c r="L120" s="6">
        <f t="shared" si="62"/>
        <v>19200</v>
      </c>
      <c r="M120" s="6">
        <f t="shared" si="62"/>
        <v>19200</v>
      </c>
      <c r="N120" s="6">
        <f t="shared" si="62"/>
        <v>19200</v>
      </c>
      <c r="O120" s="6">
        <f t="shared" si="62"/>
        <v>19200</v>
      </c>
      <c r="P120" s="6">
        <f t="shared" si="62"/>
        <v>19200</v>
      </c>
      <c r="Q120" s="6">
        <f t="shared" si="62"/>
        <v>19200</v>
      </c>
      <c r="R120" s="6">
        <f t="shared" si="62"/>
        <v>19200</v>
      </c>
      <c r="S120" s="6">
        <f t="shared" si="62"/>
        <v>4800</v>
      </c>
    </row>
    <row r="121" spans="2:19" s="25" customFormat="1" ht="13.5" x14ac:dyDescent="0.2">
      <c r="B121" s="7"/>
      <c r="C121" s="8"/>
      <c r="D121" s="8" t="s">
        <v>99</v>
      </c>
      <c r="E121" s="8" t="s">
        <v>55</v>
      </c>
      <c r="F121" s="16">
        <f>1.65+0.5</f>
        <v>2.15</v>
      </c>
      <c r="G121" s="7" t="s">
        <v>192</v>
      </c>
      <c r="H121" s="6">
        <f t="shared" ref="H121:S121" si="63">$F121*H72</f>
        <v>1290</v>
      </c>
      <c r="I121" s="6">
        <f t="shared" si="63"/>
        <v>5160</v>
      </c>
      <c r="J121" s="6">
        <f t="shared" si="63"/>
        <v>5160</v>
      </c>
      <c r="K121" s="6">
        <f t="shared" si="63"/>
        <v>5160</v>
      </c>
      <c r="L121" s="6">
        <f t="shared" si="63"/>
        <v>5160</v>
      </c>
      <c r="M121" s="6">
        <f t="shared" si="63"/>
        <v>5160</v>
      </c>
      <c r="N121" s="6">
        <f t="shared" si="63"/>
        <v>5160</v>
      </c>
      <c r="O121" s="6">
        <f t="shared" si="63"/>
        <v>5160</v>
      </c>
      <c r="P121" s="6">
        <f t="shared" si="63"/>
        <v>5160</v>
      </c>
      <c r="Q121" s="6">
        <f t="shared" si="63"/>
        <v>5160</v>
      </c>
      <c r="R121" s="6">
        <f t="shared" si="63"/>
        <v>5160</v>
      </c>
      <c r="S121" s="6">
        <f t="shared" si="63"/>
        <v>1290</v>
      </c>
    </row>
    <row r="122" spans="2:19" s="25" customFormat="1" ht="27" x14ac:dyDescent="0.2">
      <c r="B122" s="7" t="s">
        <v>511</v>
      </c>
      <c r="C122" s="8" t="s">
        <v>100</v>
      </c>
      <c r="D122" s="8" t="s">
        <v>5</v>
      </c>
      <c r="E122" s="8" t="s">
        <v>56</v>
      </c>
      <c r="F122" s="28">
        <v>6.8000000000000005E-2</v>
      </c>
      <c r="G122" s="7" t="s">
        <v>195</v>
      </c>
      <c r="H122" s="6">
        <f t="shared" ref="H122:S122" si="64">$F122*H75</f>
        <v>0</v>
      </c>
      <c r="I122" s="6">
        <f t="shared" si="64"/>
        <v>822145.7890954325</v>
      </c>
      <c r="J122" s="6">
        <f t="shared" si="64"/>
        <v>1673486.8939047768</v>
      </c>
      <c r="K122" s="6">
        <f t="shared" si="64"/>
        <v>3407550.8887986415</v>
      </c>
      <c r="L122" s="6">
        <f t="shared" si="64"/>
        <v>5223876.7585113971</v>
      </c>
      <c r="M122" s="6">
        <f t="shared" si="64"/>
        <v>7072647.4678771561</v>
      </c>
      <c r="N122" s="6">
        <f t="shared" si="64"/>
        <v>8980737.5795174837</v>
      </c>
      <c r="O122" s="6">
        <f t="shared" si="64"/>
        <v>10077244.985082928</v>
      </c>
      <c r="P122" s="6">
        <f t="shared" si="64"/>
        <v>11132598.745483562</v>
      </c>
      <c r="Q122" s="6">
        <f t="shared" si="64"/>
        <v>11731714.560058745</v>
      </c>
      <c r="R122" s="6">
        <f t="shared" si="64"/>
        <v>11902822.037193453</v>
      </c>
      <c r="S122" s="6">
        <f t="shared" si="64"/>
        <v>0</v>
      </c>
    </row>
    <row r="123" spans="2:19" s="33" customFormat="1" ht="13.5" x14ac:dyDescent="0.2">
      <c r="B123" s="31"/>
      <c r="C123" s="63" t="s">
        <v>412</v>
      </c>
      <c r="D123" s="31"/>
      <c r="E123" s="31"/>
      <c r="F123" s="31"/>
      <c r="G123" s="31"/>
      <c r="H123" s="32">
        <f>SUM(H81:H122)</f>
        <v>6683698.1810000008</v>
      </c>
      <c r="I123" s="32">
        <f>SUM(I81:I122)</f>
        <v>17053157.32833299</v>
      </c>
      <c r="J123" s="32">
        <f t="shared" ref="J123:S123" si="65">SUM(J81:J122)</f>
        <v>17889426.857791357</v>
      </c>
      <c r="K123" s="32">
        <f t="shared" si="65"/>
        <v>19307413.10859492</v>
      </c>
      <c r="L123" s="32">
        <f t="shared" si="65"/>
        <v>20843026.208159789</v>
      </c>
      <c r="M123" s="32">
        <f t="shared" si="65"/>
        <v>22325726.443480752</v>
      </c>
      <c r="N123" s="32">
        <f t="shared" si="65"/>
        <v>23883595.264325663</v>
      </c>
      <c r="O123" s="32">
        <f t="shared" si="65"/>
        <v>24918593.597747423</v>
      </c>
      <c r="P123" s="32">
        <f t="shared" si="65"/>
        <v>25889424.481699098</v>
      </c>
      <c r="Q123" s="32">
        <f t="shared" si="65"/>
        <v>26585472.941545188</v>
      </c>
      <c r="R123" s="32">
        <f t="shared" si="65"/>
        <v>26947390.035276279</v>
      </c>
      <c r="S123" s="32">
        <f t="shared" si="65"/>
        <v>4048476.4645987563</v>
      </c>
    </row>
    <row r="124" spans="2:19" ht="13.5" x14ac:dyDescent="0.2">
      <c r="B124" s="4"/>
      <c r="C124" s="5" t="s">
        <v>410</v>
      </c>
      <c r="D124" s="5" t="s">
        <v>411</v>
      </c>
      <c r="E124" s="5"/>
      <c r="F124" s="62">
        <v>0.04</v>
      </c>
      <c r="G124" s="4"/>
      <c r="H124" s="32">
        <f t="shared" ref="H124:S124" si="66">H123/((1+$F124)^(H80-2020))</f>
        <v>6179454.6791789941</v>
      </c>
      <c r="I124" s="32">
        <f t="shared" si="66"/>
        <v>15160194.768730255</v>
      </c>
      <c r="J124" s="32">
        <f t="shared" si="66"/>
        <v>15291957.053159788</v>
      </c>
      <c r="K124" s="32">
        <f t="shared" si="66"/>
        <v>15869286.195355</v>
      </c>
      <c r="L124" s="32">
        <f t="shared" si="66"/>
        <v>16472546.372482801</v>
      </c>
      <c r="M124" s="32">
        <f t="shared" si="66"/>
        <v>16965717.217077371</v>
      </c>
      <c r="N124" s="32">
        <f t="shared" si="66"/>
        <v>17451509.11987453</v>
      </c>
      <c r="O124" s="32">
        <f t="shared" si="66"/>
        <v>17507473.331056908</v>
      </c>
      <c r="P124" s="32">
        <f t="shared" si="66"/>
        <v>17489967.531357333</v>
      </c>
      <c r="Q124" s="32">
        <f t="shared" si="66"/>
        <v>17269416.279418975</v>
      </c>
      <c r="R124" s="32">
        <f t="shared" si="66"/>
        <v>16831260.309916813</v>
      </c>
      <c r="S124" s="32">
        <f t="shared" si="66"/>
        <v>2431410.05296415</v>
      </c>
    </row>
    <row r="128" spans="2:19" ht="18" thickBot="1" x14ac:dyDescent="0.25">
      <c r="B128" s="80" t="s">
        <v>204</v>
      </c>
      <c r="C128" s="80"/>
      <c r="D128" s="80"/>
      <c r="E128" s="80"/>
      <c r="F128" s="80"/>
      <c r="G128" s="80"/>
    </row>
    <row r="129" spans="2:19" ht="13.5" thickTop="1" x14ac:dyDescent="0.2"/>
    <row r="130" spans="2:19" ht="15.75" thickBot="1" x14ac:dyDescent="0.3">
      <c r="B130" s="22" t="s">
        <v>50</v>
      </c>
      <c r="C130" s="23"/>
    </row>
    <row r="132" spans="2:19" ht="13.5" x14ac:dyDescent="0.2">
      <c r="B132" s="13"/>
      <c r="C132" s="21" t="s">
        <v>48</v>
      </c>
      <c r="D132" s="13" t="s">
        <v>51</v>
      </c>
      <c r="E132" s="82" t="s">
        <v>53</v>
      </c>
      <c r="F132" s="82"/>
      <c r="G132" s="13" t="s">
        <v>35</v>
      </c>
      <c r="H132" s="13">
        <v>2022</v>
      </c>
      <c r="I132" s="13">
        <v>2023</v>
      </c>
      <c r="J132" s="13">
        <v>2024</v>
      </c>
      <c r="K132" s="13">
        <v>2025</v>
      </c>
      <c r="L132" s="13">
        <v>2026</v>
      </c>
      <c r="M132" s="13">
        <v>2027</v>
      </c>
      <c r="N132" s="13">
        <v>2028</v>
      </c>
      <c r="O132" s="13">
        <v>2029</v>
      </c>
      <c r="P132" s="13">
        <v>2030</v>
      </c>
      <c r="Q132" s="13">
        <v>2031</v>
      </c>
      <c r="R132" s="13">
        <v>2032</v>
      </c>
      <c r="S132" s="13">
        <v>2033</v>
      </c>
    </row>
    <row r="133" spans="2:19" s="10" customFormat="1" ht="12" x14ac:dyDescent="0.15">
      <c r="B133" s="11"/>
      <c r="C133" s="11"/>
      <c r="D133" s="11"/>
      <c r="E133" s="12"/>
      <c r="F133" s="12"/>
      <c r="G133" s="12">
        <v>1</v>
      </c>
      <c r="H133" s="12">
        <v>2</v>
      </c>
      <c r="I133" s="12">
        <v>3</v>
      </c>
      <c r="J133" s="12">
        <v>4</v>
      </c>
      <c r="K133" s="12">
        <v>5</v>
      </c>
      <c r="L133" s="12">
        <v>6</v>
      </c>
      <c r="M133" s="12">
        <v>7</v>
      </c>
      <c r="N133" s="12">
        <v>8</v>
      </c>
      <c r="O133" s="12">
        <v>9</v>
      </c>
      <c r="P133" s="12">
        <v>10</v>
      </c>
      <c r="Q133" s="12">
        <v>11</v>
      </c>
      <c r="R133" s="12">
        <v>12</v>
      </c>
      <c r="S133" s="12">
        <v>13</v>
      </c>
    </row>
    <row r="134" spans="2:19" ht="16.5" customHeight="1" x14ac:dyDescent="0.2">
      <c r="B134" s="7"/>
      <c r="C134" s="8" t="s">
        <v>52</v>
      </c>
      <c r="D134" s="27" t="s">
        <v>34</v>
      </c>
      <c r="E134" s="8"/>
      <c r="F134" s="8"/>
      <c r="G134" s="7" t="s">
        <v>38</v>
      </c>
      <c r="H134" s="6"/>
      <c r="I134" s="6">
        <f>[1]Výber_mýta_P4Ba1O!I$16</f>
        <v>241807585.02806833</v>
      </c>
      <c r="J134" s="6">
        <f>[1]Výber_mýta_P4Ba1O!J$16</f>
        <v>246101013.80952594</v>
      </c>
      <c r="K134" s="6">
        <f>[1]Výber_mýta_P4Ba1O!K$16</f>
        <v>250555212.41166478</v>
      </c>
      <c r="L134" s="6">
        <f>[1]Výber_mýta_P4Ba1O!L$16</f>
        <v>256072390.1231077</v>
      </c>
      <c r="M134" s="6">
        <f>[1]Výber_mýta_P4Ba1O!M$16</f>
        <v>260023803.96607187</v>
      </c>
      <c r="N134" s="6">
        <f>[1]Výber_mýta_P4Ba1O!N$16</f>
        <v>264139340.57404363</v>
      </c>
      <c r="O134" s="6">
        <f>[1]Výber_mýta_P4Ba1O!O$16</f>
        <v>269445053.07708359</v>
      </c>
      <c r="P134" s="6">
        <f>[1]Výber_mýta_P4Ba1O!P$16</f>
        <v>272857812.38930303</v>
      </c>
      <c r="Q134" s="6">
        <f>[1]Výber_mýta_P4Ba1O!Q$16</f>
        <v>276040342.58961749</v>
      </c>
      <c r="R134" s="6">
        <f>[1]Výber_mýta_P4Ba1O!R$16</f>
        <v>277843651.66184527</v>
      </c>
      <c r="S134" s="6"/>
    </row>
    <row r="135" spans="2:19" ht="16.5" customHeight="1" x14ac:dyDescent="0.2">
      <c r="B135" s="7"/>
      <c r="C135" s="8" t="s">
        <v>43</v>
      </c>
      <c r="D135" s="8"/>
      <c r="E135" s="18"/>
      <c r="F135" s="8"/>
      <c r="G135" s="7" t="s">
        <v>152</v>
      </c>
      <c r="H135" s="6"/>
      <c r="I135" s="6">
        <v>12</v>
      </c>
      <c r="J135" s="6">
        <v>12</v>
      </c>
      <c r="K135" s="6">
        <v>12</v>
      </c>
      <c r="L135" s="6">
        <v>12</v>
      </c>
      <c r="M135" s="6">
        <v>12</v>
      </c>
      <c r="N135" s="6">
        <v>12</v>
      </c>
      <c r="O135" s="6">
        <v>12</v>
      </c>
      <c r="P135" s="6">
        <v>12</v>
      </c>
      <c r="Q135" s="6">
        <v>12</v>
      </c>
      <c r="R135" s="6">
        <v>12</v>
      </c>
      <c r="S135" s="1"/>
    </row>
    <row r="136" spans="2:19" ht="16.5" customHeight="1" x14ac:dyDescent="0.2">
      <c r="B136" s="7"/>
      <c r="C136" s="8" t="s">
        <v>36</v>
      </c>
      <c r="D136" s="8"/>
      <c r="E136" s="18"/>
      <c r="F136" s="8"/>
      <c r="G136" s="7" t="s">
        <v>207</v>
      </c>
      <c r="H136" s="6">
        <v>3</v>
      </c>
      <c r="I136" s="6">
        <v>12</v>
      </c>
      <c r="J136" s="6">
        <v>12</v>
      </c>
      <c r="K136" s="6">
        <v>12</v>
      </c>
      <c r="L136" s="6">
        <v>12</v>
      </c>
      <c r="M136" s="6">
        <v>12</v>
      </c>
      <c r="N136" s="6">
        <v>12</v>
      </c>
      <c r="O136" s="6">
        <v>12</v>
      </c>
      <c r="P136" s="6">
        <v>12</v>
      </c>
      <c r="Q136" s="6">
        <v>12</v>
      </c>
      <c r="R136" s="6">
        <v>12</v>
      </c>
      <c r="S136" s="1">
        <v>3</v>
      </c>
    </row>
    <row r="137" spans="2:19" ht="16.5" customHeight="1" x14ac:dyDescent="0.2">
      <c r="B137" s="7"/>
      <c r="C137" s="8" t="s">
        <v>44</v>
      </c>
      <c r="D137" s="8"/>
      <c r="E137" s="18"/>
      <c r="F137" s="8"/>
      <c r="G137" s="7" t="s">
        <v>208</v>
      </c>
      <c r="H137" s="6">
        <v>6</v>
      </c>
      <c r="I137" s="6">
        <v>3</v>
      </c>
      <c r="J137" s="6"/>
      <c r="K137" s="6"/>
      <c r="L137" s="6"/>
      <c r="M137" s="6"/>
      <c r="N137" s="6"/>
      <c r="O137" s="6"/>
      <c r="P137" s="6"/>
      <c r="Q137" s="6"/>
      <c r="R137" s="6"/>
      <c r="S137" s="1">
        <v>3</v>
      </c>
    </row>
    <row r="138" spans="2:19" ht="13.5" x14ac:dyDescent="0.2">
      <c r="B138" s="7"/>
      <c r="C138" s="8" t="s">
        <v>467</v>
      </c>
      <c r="D138" s="8"/>
      <c r="E138" s="73">
        <v>0.02</v>
      </c>
      <c r="F138" s="8"/>
      <c r="G138" s="7" t="s">
        <v>209</v>
      </c>
      <c r="H138" s="72">
        <f>(1+$E138)^(H$57-2020)</f>
        <v>1.0404</v>
      </c>
      <c r="I138" s="72">
        <f t="shared" ref="I138:S138" si="67">(1+$E138)^(I$57-2020)</f>
        <v>1.0612079999999999</v>
      </c>
      <c r="J138" s="72">
        <f t="shared" si="67"/>
        <v>1.08243216</v>
      </c>
      <c r="K138" s="72">
        <f t="shared" si="67"/>
        <v>1.1040808032</v>
      </c>
      <c r="L138" s="72">
        <f t="shared" si="67"/>
        <v>1.1261624192640001</v>
      </c>
      <c r="M138" s="72">
        <f t="shared" si="67"/>
        <v>1.1486856676492798</v>
      </c>
      <c r="N138" s="72">
        <f t="shared" si="67"/>
        <v>1.1716593810022655</v>
      </c>
      <c r="O138" s="72">
        <f t="shared" si="67"/>
        <v>1.1950925686223108</v>
      </c>
      <c r="P138" s="72">
        <f t="shared" si="67"/>
        <v>1.2189944199947571</v>
      </c>
      <c r="Q138" s="72">
        <f t="shared" si="67"/>
        <v>1.243374308394652</v>
      </c>
      <c r="R138" s="72">
        <f t="shared" si="67"/>
        <v>1.2682417945625453</v>
      </c>
      <c r="S138" s="72">
        <f t="shared" si="67"/>
        <v>1.2936066304537961</v>
      </c>
    </row>
    <row r="139" spans="2:19" ht="15.75" thickBot="1" x14ac:dyDescent="0.3">
      <c r="B139" s="22" t="s">
        <v>201</v>
      </c>
      <c r="C139" s="23"/>
    </row>
    <row r="140" spans="2:19" ht="33.75" customHeight="1" x14ac:dyDescent="0.2">
      <c r="B140" s="79" t="s">
        <v>447</v>
      </c>
      <c r="C140" s="79"/>
      <c r="D140" s="79"/>
      <c r="E140" s="79"/>
      <c r="H140" s="79" t="s">
        <v>446</v>
      </c>
      <c r="I140" s="79"/>
      <c r="J140" s="79"/>
      <c r="K140" s="79"/>
    </row>
    <row r="141" spans="2:19" ht="40.5" x14ac:dyDescent="0.2">
      <c r="B141" s="4" t="s">
        <v>0</v>
      </c>
      <c r="C141" s="5" t="s">
        <v>1</v>
      </c>
      <c r="D141" s="5" t="s">
        <v>2</v>
      </c>
      <c r="E141" s="5" t="s">
        <v>3</v>
      </c>
      <c r="F141" s="5" t="s">
        <v>33</v>
      </c>
      <c r="G141" s="4" t="s">
        <v>35</v>
      </c>
      <c r="H141" s="4">
        <v>2022</v>
      </c>
      <c r="I141" s="4">
        <v>2023</v>
      </c>
      <c r="J141" s="4">
        <v>2024</v>
      </c>
      <c r="K141" s="4">
        <v>2025</v>
      </c>
      <c r="L141" s="4">
        <v>2026</v>
      </c>
      <c r="M141" s="4">
        <v>2027</v>
      </c>
      <c r="N141" s="4">
        <v>2028</v>
      </c>
      <c r="O141" s="4">
        <v>2029</v>
      </c>
      <c r="P141" s="4">
        <v>2030</v>
      </c>
      <c r="Q141" s="4">
        <v>2031</v>
      </c>
      <c r="R141" s="4">
        <v>2032</v>
      </c>
      <c r="S141" s="4">
        <v>2033</v>
      </c>
    </row>
    <row r="142" spans="2:19" ht="27" x14ac:dyDescent="0.2">
      <c r="B142" s="7" t="s">
        <v>205</v>
      </c>
      <c r="C142" s="8" t="s">
        <v>100</v>
      </c>
      <c r="D142" s="8" t="s">
        <v>5</v>
      </c>
      <c r="E142" s="8" t="s">
        <v>56</v>
      </c>
      <c r="F142" s="9">
        <v>6.8000000000000005E-2</v>
      </c>
      <c r="G142" s="7" t="s">
        <v>38</v>
      </c>
      <c r="H142" s="6">
        <f t="shared" ref="H142:S142" si="68">$F142*H134</f>
        <v>0</v>
      </c>
      <c r="I142" s="6">
        <f t="shared" si="68"/>
        <v>16442915.781908648</v>
      </c>
      <c r="J142" s="6">
        <f t="shared" si="68"/>
        <v>16734868.939047765</v>
      </c>
      <c r="K142" s="6">
        <f t="shared" si="68"/>
        <v>17037754.443993207</v>
      </c>
      <c r="L142" s="6">
        <f t="shared" si="68"/>
        <v>17412922.528371327</v>
      </c>
      <c r="M142" s="6">
        <f t="shared" si="68"/>
        <v>17681618.669692889</v>
      </c>
      <c r="N142" s="6">
        <f t="shared" si="68"/>
        <v>17961475.159034967</v>
      </c>
      <c r="O142" s="6">
        <f t="shared" si="68"/>
        <v>18322263.609241687</v>
      </c>
      <c r="P142" s="6">
        <f t="shared" si="68"/>
        <v>18554331.242472608</v>
      </c>
      <c r="Q142" s="6">
        <f t="shared" si="68"/>
        <v>18770743.296093989</v>
      </c>
      <c r="R142" s="6">
        <f t="shared" si="68"/>
        <v>18893368.313005481</v>
      </c>
      <c r="S142" s="6">
        <f t="shared" si="68"/>
        <v>0</v>
      </c>
    </row>
    <row r="143" spans="2:19" ht="27" x14ac:dyDescent="0.2">
      <c r="B143" s="7" t="s">
        <v>206</v>
      </c>
      <c r="C143" s="8" t="s">
        <v>101</v>
      </c>
      <c r="D143" s="8" t="s">
        <v>20</v>
      </c>
      <c r="E143" s="8" t="s">
        <v>165</v>
      </c>
      <c r="F143" s="16">
        <f>ROUND((2*2592)*1.032,0)</f>
        <v>5350</v>
      </c>
      <c r="G143" s="7" t="s">
        <v>152</v>
      </c>
      <c r="H143" s="6">
        <f>$F143*H$135</f>
        <v>0</v>
      </c>
      <c r="I143" s="6">
        <f t="shared" ref="I143:S143" si="69">$F143*I$135</f>
        <v>64200</v>
      </c>
      <c r="J143" s="6">
        <f t="shared" si="69"/>
        <v>64200</v>
      </c>
      <c r="K143" s="6">
        <f t="shared" si="69"/>
        <v>64200</v>
      </c>
      <c r="L143" s="6">
        <f t="shared" si="69"/>
        <v>64200</v>
      </c>
      <c r="M143" s="6">
        <f t="shared" si="69"/>
        <v>64200</v>
      </c>
      <c r="N143" s="6">
        <f t="shared" si="69"/>
        <v>64200</v>
      </c>
      <c r="O143" s="6">
        <f t="shared" si="69"/>
        <v>64200</v>
      </c>
      <c r="P143" s="6">
        <f t="shared" si="69"/>
        <v>64200</v>
      </c>
      <c r="Q143" s="6">
        <f t="shared" si="69"/>
        <v>64200</v>
      </c>
      <c r="R143" s="6">
        <f t="shared" si="69"/>
        <v>64200</v>
      </c>
      <c r="S143" s="6">
        <f t="shared" si="69"/>
        <v>0</v>
      </c>
    </row>
    <row r="144" spans="2:19" ht="13.5" x14ac:dyDescent="0.2">
      <c r="B144" s="7" t="s">
        <v>448</v>
      </c>
      <c r="C144" s="8" t="s">
        <v>88</v>
      </c>
      <c r="D144" s="8" t="s">
        <v>13</v>
      </c>
      <c r="E144" s="8" t="s">
        <v>55</v>
      </c>
      <c r="F144" s="16">
        <v>40000</v>
      </c>
      <c r="G144" s="7" t="s">
        <v>208</v>
      </c>
      <c r="H144" s="6">
        <f>$F144*H$137</f>
        <v>240000</v>
      </c>
      <c r="I144" s="6">
        <f t="shared" ref="I144:S144" si="70">$F144*I$137</f>
        <v>120000</v>
      </c>
      <c r="J144" s="6">
        <f t="shared" si="70"/>
        <v>0</v>
      </c>
      <c r="K144" s="6">
        <f t="shared" si="70"/>
        <v>0</v>
      </c>
      <c r="L144" s="6">
        <f t="shared" si="70"/>
        <v>0</v>
      </c>
      <c r="M144" s="6">
        <f t="shared" si="70"/>
        <v>0</v>
      </c>
      <c r="N144" s="6">
        <f t="shared" si="70"/>
        <v>0</v>
      </c>
      <c r="O144" s="6">
        <f t="shared" si="70"/>
        <v>0</v>
      </c>
      <c r="P144" s="6">
        <f t="shared" si="70"/>
        <v>0</v>
      </c>
      <c r="Q144" s="6">
        <f t="shared" si="70"/>
        <v>0</v>
      </c>
      <c r="R144" s="6">
        <f t="shared" si="70"/>
        <v>0</v>
      </c>
      <c r="S144" s="6">
        <f t="shared" si="70"/>
        <v>120000</v>
      </c>
    </row>
    <row r="145" spans="2:19" ht="27" x14ac:dyDescent="0.2">
      <c r="B145" s="7" t="s">
        <v>449</v>
      </c>
      <c r="C145" s="8" t="s">
        <v>465</v>
      </c>
      <c r="D145" s="8" t="s">
        <v>466</v>
      </c>
      <c r="E145" s="27" t="s">
        <v>480</v>
      </c>
      <c r="F145" s="16">
        <f>'[2]Zákaznícke služby (alt.3)'!$G$13</f>
        <v>17331</v>
      </c>
      <c r="G145" s="7" t="s">
        <v>474</v>
      </c>
      <c r="H145" s="6">
        <f>$F145*H$138*MAX(H$136:H$137)</f>
        <v>108187.0344</v>
      </c>
      <c r="I145" s="6">
        <f t="shared" ref="I145:S145" si="71">$F145*I$138*MAX(I$136:I$137)</f>
        <v>220701.55017599999</v>
      </c>
      <c r="J145" s="6">
        <f t="shared" si="71"/>
        <v>225115.58117952</v>
      </c>
      <c r="K145" s="6">
        <f t="shared" si="71"/>
        <v>229617.89280311042</v>
      </c>
      <c r="L145" s="6">
        <f t="shared" si="71"/>
        <v>234210.25065917263</v>
      </c>
      <c r="M145" s="6">
        <f t="shared" si="71"/>
        <v>238894.45567235601</v>
      </c>
      <c r="N145" s="6">
        <f t="shared" si="71"/>
        <v>243672.34478580314</v>
      </c>
      <c r="O145" s="6">
        <f t="shared" si="71"/>
        <v>248545.79168151921</v>
      </c>
      <c r="P145" s="6">
        <f t="shared" si="71"/>
        <v>253516.70751514964</v>
      </c>
      <c r="Q145" s="6">
        <f t="shared" si="71"/>
        <v>258587.04166545259</v>
      </c>
      <c r="R145" s="6">
        <f t="shared" si="71"/>
        <v>263758.78249876166</v>
      </c>
      <c r="S145" s="6">
        <f t="shared" si="71"/>
        <v>67258.489537184214</v>
      </c>
    </row>
    <row r="146" spans="2:19" ht="27.75" customHeight="1" x14ac:dyDescent="0.2">
      <c r="B146" s="7" t="s">
        <v>450</v>
      </c>
      <c r="C146" s="8" t="s">
        <v>21</v>
      </c>
      <c r="D146" s="8" t="s">
        <v>13</v>
      </c>
      <c r="E146" s="8" t="s">
        <v>47</v>
      </c>
      <c r="F146" s="16">
        <v>80000</v>
      </c>
      <c r="G146" s="7" t="s">
        <v>207</v>
      </c>
      <c r="H146" s="6">
        <f t="shared" ref="H146:S146" si="72">$F146*H135</f>
        <v>0</v>
      </c>
      <c r="I146" s="6">
        <f t="shared" si="72"/>
        <v>960000</v>
      </c>
      <c r="J146" s="6">
        <f t="shared" si="72"/>
        <v>960000</v>
      </c>
      <c r="K146" s="6">
        <f t="shared" si="72"/>
        <v>960000</v>
      </c>
      <c r="L146" s="6">
        <f t="shared" si="72"/>
        <v>960000</v>
      </c>
      <c r="M146" s="6">
        <f t="shared" si="72"/>
        <v>960000</v>
      </c>
      <c r="N146" s="6">
        <f t="shared" si="72"/>
        <v>960000</v>
      </c>
      <c r="O146" s="6">
        <f t="shared" si="72"/>
        <v>960000</v>
      </c>
      <c r="P146" s="6">
        <f t="shared" si="72"/>
        <v>960000</v>
      </c>
      <c r="Q146" s="6">
        <f t="shared" si="72"/>
        <v>960000</v>
      </c>
      <c r="R146" s="6">
        <f t="shared" si="72"/>
        <v>960000</v>
      </c>
      <c r="S146" s="6">
        <f t="shared" si="72"/>
        <v>0</v>
      </c>
    </row>
    <row r="147" spans="2:19" ht="13.5" x14ac:dyDescent="0.2">
      <c r="B147" s="4"/>
      <c r="C147" s="5" t="s">
        <v>58</v>
      </c>
      <c r="D147" s="5"/>
      <c r="E147" s="5"/>
      <c r="F147" s="5"/>
      <c r="G147" s="4"/>
      <c r="H147" s="32">
        <f t="shared" ref="H147:S147" si="73">SUM(H142:H146)</f>
        <v>348187.0344</v>
      </c>
      <c r="I147" s="32">
        <f t="shared" si="73"/>
        <v>17807817.332084648</v>
      </c>
      <c r="J147" s="32">
        <f t="shared" si="73"/>
        <v>17984184.520227283</v>
      </c>
      <c r="K147" s="32">
        <f t="shared" si="73"/>
        <v>18291572.336796317</v>
      </c>
      <c r="L147" s="32">
        <f t="shared" si="73"/>
        <v>18671332.779030498</v>
      </c>
      <c r="M147" s="32">
        <f t="shared" si="73"/>
        <v>18944713.125365246</v>
      </c>
      <c r="N147" s="32">
        <f t="shared" si="73"/>
        <v>19229347.503820769</v>
      </c>
      <c r="O147" s="32">
        <f t="shared" si="73"/>
        <v>19595009.400923207</v>
      </c>
      <c r="P147" s="32">
        <f t="shared" si="73"/>
        <v>19832047.949987758</v>
      </c>
      <c r="Q147" s="32">
        <f t="shared" si="73"/>
        <v>20053530.337759443</v>
      </c>
      <c r="R147" s="32">
        <f t="shared" si="73"/>
        <v>20181327.095504243</v>
      </c>
      <c r="S147" s="32">
        <f t="shared" si="73"/>
        <v>187258.48953718421</v>
      </c>
    </row>
    <row r="148" spans="2:19" ht="13.5" x14ac:dyDescent="0.2">
      <c r="B148" s="4"/>
      <c r="C148" s="5" t="s">
        <v>410</v>
      </c>
      <c r="D148" s="5" t="s">
        <v>411</v>
      </c>
      <c r="E148" s="5"/>
      <c r="F148" s="62">
        <v>0.04</v>
      </c>
      <c r="G148" s="4"/>
      <c r="H148" s="32">
        <f t="shared" ref="H148:S148" si="74">H147/((1+$F148)^(H141-2020))</f>
        <v>321918.48594674555</v>
      </c>
      <c r="I148" s="32">
        <f t="shared" si="74"/>
        <v>15831084.764100058</v>
      </c>
      <c r="J148" s="32">
        <f t="shared" si="74"/>
        <v>15372956.300142199</v>
      </c>
      <c r="K148" s="32">
        <f t="shared" si="74"/>
        <v>15034339.128862388</v>
      </c>
      <c r="L148" s="32">
        <f t="shared" si="74"/>
        <v>14756225.510009212</v>
      </c>
      <c r="M148" s="32">
        <f t="shared" si="74"/>
        <v>14396424.969967984</v>
      </c>
      <c r="N148" s="32">
        <f t="shared" si="74"/>
        <v>14050695.869621184</v>
      </c>
      <c r="O148" s="32">
        <f t="shared" si="74"/>
        <v>13767193.68863113</v>
      </c>
      <c r="P148" s="32">
        <f t="shared" si="74"/>
        <v>13397820.989446862</v>
      </c>
      <c r="Q148" s="32">
        <f t="shared" si="74"/>
        <v>13026390.917934032</v>
      </c>
      <c r="R148" s="32">
        <f t="shared" si="74"/>
        <v>12605197.360462176</v>
      </c>
      <c r="S148" s="32">
        <f t="shared" si="74"/>
        <v>112462.59622475457</v>
      </c>
    </row>
    <row r="150" spans="2:19" x14ac:dyDescent="0.2">
      <c r="G150"/>
    </row>
    <row r="152" spans="2:19" ht="18" thickBot="1" x14ac:dyDescent="0.25">
      <c r="B152" s="80" t="s">
        <v>268</v>
      </c>
      <c r="C152" s="80"/>
      <c r="D152" s="80"/>
      <c r="E152" s="80"/>
      <c r="F152" s="80"/>
      <c r="G152" s="80"/>
    </row>
    <row r="153" spans="2:19" ht="13.5" thickTop="1" x14ac:dyDescent="0.2"/>
    <row r="154" spans="2:19" ht="15.75" thickBot="1" x14ac:dyDescent="0.3">
      <c r="B154" s="81" t="s">
        <v>269</v>
      </c>
      <c r="C154" s="81"/>
      <c r="D154" s="81"/>
      <c r="E154" s="81"/>
      <c r="F154" s="81"/>
    </row>
    <row r="155" spans="2:19" x14ac:dyDescent="0.2">
      <c r="B155"/>
    </row>
    <row r="156" spans="2:19" ht="27" x14ac:dyDescent="0.2">
      <c r="B156" s="3"/>
      <c r="C156" s="3" t="s">
        <v>409</v>
      </c>
      <c r="D156" s="3" t="s">
        <v>413</v>
      </c>
      <c r="E156" s="3" t="s">
        <v>270</v>
      </c>
      <c r="F156" s="3" t="s">
        <v>271</v>
      </c>
      <c r="G156" s="3" t="s">
        <v>272</v>
      </c>
    </row>
    <row r="157" spans="2:19" ht="27" x14ac:dyDescent="0.25">
      <c r="B157" s="35"/>
      <c r="C157" s="38" t="s">
        <v>273</v>
      </c>
      <c r="D157" s="36">
        <f>SUM(H45:S45)</f>
        <v>152282763.84615088</v>
      </c>
      <c r="E157" s="37">
        <f>D157/D$157</f>
        <v>1</v>
      </c>
      <c r="F157" s="36">
        <f>H45</f>
        <v>2462066.951450571</v>
      </c>
      <c r="G157" s="36">
        <f>D157-F157</f>
        <v>149820696.89470032</v>
      </c>
    </row>
    <row r="158" spans="2:19" ht="27" x14ac:dyDescent="0.25">
      <c r="B158" s="35"/>
      <c r="C158" s="38" t="s">
        <v>274</v>
      </c>
      <c r="D158" s="36">
        <f>SUM(H124:S124)</f>
        <v>174920192.91057295</v>
      </c>
      <c r="E158" s="37">
        <f t="shared" ref="E158:E159" si="75">D158/D$157</f>
        <v>1.1486539152079769</v>
      </c>
      <c r="F158" s="36">
        <f>H124</f>
        <v>6179454.6791789941</v>
      </c>
      <c r="G158" s="36">
        <f t="shared" ref="G158:G159" si="76">D158-F158</f>
        <v>168740738.23139396</v>
      </c>
    </row>
    <row r="159" spans="2:19" ht="27" x14ac:dyDescent="0.25">
      <c r="B159" s="35"/>
      <c r="C159" s="38" t="s">
        <v>275</v>
      </c>
      <c r="D159" s="36">
        <f>SUM(H148:S148)</f>
        <v>142672710.58134875</v>
      </c>
      <c r="E159" s="37">
        <f t="shared" si="75"/>
        <v>0.93689336191382089</v>
      </c>
      <c r="F159" s="36">
        <f>H148</f>
        <v>321918.48594674555</v>
      </c>
      <c r="G159" s="36">
        <f t="shared" si="76"/>
        <v>142350792.095402</v>
      </c>
    </row>
  </sheetData>
  <mergeCells count="14">
    <mergeCell ref="B152:G152"/>
    <mergeCell ref="B154:F154"/>
    <mergeCell ref="B2:G2"/>
    <mergeCell ref="E6:F6"/>
    <mergeCell ref="B53:G53"/>
    <mergeCell ref="E57:F57"/>
    <mergeCell ref="B128:G128"/>
    <mergeCell ref="E132:F132"/>
    <mergeCell ref="B27:D27"/>
    <mergeCell ref="H27:K27"/>
    <mergeCell ref="B79:D79"/>
    <mergeCell ref="H79:K79"/>
    <mergeCell ref="B140:E140"/>
    <mergeCell ref="H140:K14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96"/>
  <sheetViews>
    <sheetView topLeftCell="A41" workbookViewId="0">
      <selection activeCell="A56" sqref="A56:XFD56"/>
    </sheetView>
  </sheetViews>
  <sheetFormatPr defaultRowHeight="12.75" x14ac:dyDescent="0.2"/>
  <cols>
    <col min="1" max="1" width="9.140625" customWidth="1"/>
    <col min="2" max="2" width="9.5703125" style="2" customWidth="1"/>
    <col min="3" max="3" width="43.140625" customWidth="1"/>
    <col min="4" max="4" width="22.140625" customWidth="1"/>
    <col min="5" max="5" width="21" customWidth="1"/>
    <col min="6" max="6" width="10.7109375" customWidth="1"/>
    <col min="7" max="7" width="9.5703125" style="15" customWidth="1"/>
    <col min="9" max="9" width="9.7109375" bestFit="1" customWidth="1"/>
  </cols>
  <sheetData>
    <row r="2" spans="1:19" ht="20.25" thickBot="1" x14ac:dyDescent="0.35">
      <c r="B2" s="80" t="s">
        <v>220</v>
      </c>
      <c r="C2" s="80"/>
      <c r="D2" s="80"/>
      <c r="E2" s="80"/>
      <c r="F2" s="80"/>
      <c r="G2" s="80"/>
      <c r="N2" s="60" t="s">
        <v>499</v>
      </c>
      <c r="O2" s="60"/>
      <c r="P2" s="60"/>
      <c r="Q2" s="60"/>
      <c r="R2" s="60"/>
      <c r="S2" s="60"/>
    </row>
    <row r="3" spans="1:19" ht="13.5" thickTop="1" x14ac:dyDescent="0.2"/>
    <row r="4" spans="1:19" ht="15.75" thickBot="1" x14ac:dyDescent="0.3">
      <c r="B4" s="22" t="s">
        <v>50</v>
      </c>
      <c r="C4" s="23"/>
    </row>
    <row r="6" spans="1:19" ht="13.5" x14ac:dyDescent="0.2">
      <c r="B6" s="13"/>
      <c r="C6" s="21" t="s">
        <v>48</v>
      </c>
      <c r="D6" s="13" t="s">
        <v>51</v>
      </c>
      <c r="E6" s="82" t="s">
        <v>53</v>
      </c>
      <c r="F6" s="82"/>
      <c r="G6" s="13" t="s">
        <v>35</v>
      </c>
      <c r="H6" s="13">
        <v>2022</v>
      </c>
      <c r="I6" s="13">
        <v>2023</v>
      </c>
      <c r="J6" s="13">
        <v>2024</v>
      </c>
      <c r="K6" s="13">
        <v>2025</v>
      </c>
      <c r="L6" s="13">
        <v>2026</v>
      </c>
      <c r="M6" s="13">
        <v>2027</v>
      </c>
      <c r="N6" s="13">
        <v>2028</v>
      </c>
      <c r="O6" s="13">
        <v>2029</v>
      </c>
      <c r="P6" s="13">
        <v>2030</v>
      </c>
      <c r="Q6" s="13">
        <v>2031</v>
      </c>
      <c r="R6" s="13">
        <v>2032</v>
      </c>
      <c r="S6" s="13">
        <v>2033</v>
      </c>
    </row>
    <row r="7" spans="1:19" s="10" customFormat="1" ht="12" x14ac:dyDescent="0.15">
      <c r="B7" s="11"/>
      <c r="C7" s="11"/>
      <c r="D7" s="11"/>
      <c r="E7" s="12"/>
      <c r="F7" s="12"/>
      <c r="G7" s="12">
        <v>1</v>
      </c>
      <c r="H7" s="12">
        <v>2</v>
      </c>
      <c r="I7" s="12">
        <v>3</v>
      </c>
      <c r="J7" s="12">
        <v>4</v>
      </c>
      <c r="K7" s="12">
        <v>5</v>
      </c>
      <c r="L7" s="12">
        <v>6</v>
      </c>
      <c r="M7" s="12">
        <v>7</v>
      </c>
      <c r="N7" s="12">
        <v>8</v>
      </c>
      <c r="O7" s="12">
        <v>9</v>
      </c>
      <c r="P7" s="12">
        <v>10</v>
      </c>
      <c r="Q7" s="12">
        <v>11</v>
      </c>
      <c r="R7" s="12">
        <v>12</v>
      </c>
      <c r="S7" s="12">
        <v>13</v>
      </c>
    </row>
    <row r="8" spans="1:19" ht="16.5" customHeight="1" x14ac:dyDescent="0.2">
      <c r="B8" s="7"/>
      <c r="C8" s="8" t="s">
        <v>36</v>
      </c>
      <c r="D8" s="27" t="s">
        <v>216</v>
      </c>
      <c r="E8" s="8"/>
      <c r="F8" s="8"/>
      <c r="G8" s="7" t="s">
        <v>213</v>
      </c>
      <c r="H8" s="6">
        <f>[4]GNSS!H41</f>
        <v>3</v>
      </c>
      <c r="I8" s="6">
        <f>[4]GNSS!I41</f>
        <v>12</v>
      </c>
      <c r="J8" s="6">
        <f>[4]GNSS!J41</f>
        <v>12</v>
      </c>
      <c r="K8" s="6">
        <f>[4]GNSS!K41</f>
        <v>12</v>
      </c>
      <c r="L8" s="6">
        <f>[4]GNSS!L41</f>
        <v>12</v>
      </c>
      <c r="M8" s="6">
        <f>[4]GNSS!M41</f>
        <v>12</v>
      </c>
      <c r="N8" s="6">
        <f>[4]GNSS!N41</f>
        <v>12</v>
      </c>
      <c r="O8" s="6">
        <f>[4]GNSS!O41</f>
        <v>12</v>
      </c>
      <c r="P8" s="6">
        <f>[4]GNSS!P41</f>
        <v>12</v>
      </c>
      <c r="Q8" s="6">
        <f>[4]GNSS!Q41</f>
        <v>12</v>
      </c>
      <c r="R8" s="6">
        <f>[4]GNSS!R41</f>
        <v>12</v>
      </c>
      <c r="S8" s="6">
        <f>[4]GNSS!S41</f>
        <v>0</v>
      </c>
    </row>
    <row r="9" spans="1:19" ht="16.5" customHeight="1" x14ac:dyDescent="0.2">
      <c r="B9" s="7"/>
      <c r="C9" s="8" t="s">
        <v>211</v>
      </c>
      <c r="D9" s="27" t="s">
        <v>216</v>
      </c>
      <c r="E9" s="18"/>
      <c r="F9" s="8"/>
      <c r="G9" s="7" t="s">
        <v>214</v>
      </c>
      <c r="H9" s="6">
        <f>[4]GNSS!H42</f>
        <v>420000</v>
      </c>
      <c r="I9" s="6">
        <f>[4]GNSS!I42</f>
        <v>0</v>
      </c>
      <c r="J9" s="6">
        <f>[4]GNSS!J42</f>
        <v>0</v>
      </c>
      <c r="K9" s="6">
        <f>[4]GNSS!K42</f>
        <v>0</v>
      </c>
      <c r="L9" s="6">
        <f>[4]GNSS!L42</f>
        <v>0</v>
      </c>
      <c r="M9" s="6">
        <f>[4]GNSS!M42</f>
        <v>0</v>
      </c>
      <c r="N9" s="6">
        <f>[4]GNSS!N42</f>
        <v>0</v>
      </c>
      <c r="O9" s="6">
        <f>[4]GNSS!O42</f>
        <v>0</v>
      </c>
      <c r="P9" s="6">
        <f>[4]GNSS!P42</f>
        <v>0</v>
      </c>
      <c r="Q9" s="6">
        <f>[4]GNSS!Q42</f>
        <v>0</v>
      </c>
      <c r="R9" s="6">
        <f>[4]GNSS!R42</f>
        <v>0</v>
      </c>
      <c r="S9" s="6">
        <f>[4]GNSS!S42</f>
        <v>0</v>
      </c>
    </row>
    <row r="10" spans="1:19" ht="16.5" customHeight="1" x14ac:dyDescent="0.2">
      <c r="B10" s="7"/>
      <c r="C10" s="8" t="s">
        <v>438</v>
      </c>
      <c r="D10" s="27"/>
      <c r="E10" s="19">
        <v>0.1</v>
      </c>
      <c r="F10" s="8"/>
      <c r="G10" s="7" t="s">
        <v>215</v>
      </c>
      <c r="H10" s="6"/>
      <c r="I10" s="6">
        <f>$E10*I13</f>
        <v>26600</v>
      </c>
      <c r="J10" s="6">
        <f t="shared" ref="J10:Q10" si="0">$E10*J13</f>
        <v>25200</v>
      </c>
      <c r="K10" s="6">
        <f t="shared" si="0"/>
        <v>22400</v>
      </c>
      <c r="L10" s="6">
        <f t="shared" si="0"/>
        <v>19600</v>
      </c>
      <c r="M10" s="6">
        <f t="shared" si="0"/>
        <v>16800</v>
      </c>
      <c r="N10" s="6">
        <f t="shared" si="0"/>
        <v>14000</v>
      </c>
      <c r="O10" s="6">
        <f t="shared" si="0"/>
        <v>12600</v>
      </c>
      <c r="P10" s="6">
        <f t="shared" si="0"/>
        <v>11200</v>
      </c>
      <c r="Q10" s="6">
        <f t="shared" si="0"/>
        <v>10500</v>
      </c>
      <c r="R10" s="6"/>
      <c r="S10" s="6"/>
    </row>
    <row r="11" spans="1:19" ht="16.5" customHeight="1" x14ac:dyDescent="0.2">
      <c r="B11" s="7"/>
      <c r="C11" s="8" t="s">
        <v>212</v>
      </c>
      <c r="D11" s="27" t="s">
        <v>216</v>
      </c>
      <c r="E11" s="18"/>
      <c r="F11" s="8"/>
      <c r="G11" s="7" t="s">
        <v>200</v>
      </c>
      <c r="H11" s="6">
        <f>[4]GNSS!H44</f>
        <v>280000</v>
      </c>
      <c r="I11" s="6">
        <f>[4]GNSS!I44</f>
        <v>280000</v>
      </c>
      <c r="J11" s="6">
        <f>[4]GNSS!J44</f>
        <v>280000</v>
      </c>
      <c r="K11" s="6">
        <f>[4]GNSS!K44</f>
        <v>280000</v>
      </c>
      <c r="L11" s="6">
        <f>[4]GNSS!L44</f>
        <v>280000</v>
      </c>
      <c r="M11" s="6">
        <f>[4]GNSS!M44</f>
        <v>280000</v>
      </c>
      <c r="N11" s="6">
        <f>[4]GNSS!N44</f>
        <v>280000</v>
      </c>
      <c r="O11" s="6">
        <f>[4]GNSS!O44</f>
        <v>280000</v>
      </c>
      <c r="P11" s="6">
        <f>[4]GNSS!P44</f>
        <v>280000</v>
      </c>
      <c r="Q11" s="6">
        <f>[4]GNSS!Q44</f>
        <v>280000</v>
      </c>
      <c r="R11" s="6">
        <f>[4]GNSS!R44</f>
        <v>280000</v>
      </c>
      <c r="S11" s="6">
        <f>[4]GNSS!S44</f>
        <v>0</v>
      </c>
    </row>
    <row r="12" spans="1:19" ht="13.5" x14ac:dyDescent="0.2">
      <c r="B12" s="7"/>
      <c r="C12" s="8" t="s">
        <v>166</v>
      </c>
      <c r="D12" s="8"/>
      <c r="E12" s="8"/>
      <c r="F12" s="8"/>
      <c r="G12" s="7" t="s">
        <v>259</v>
      </c>
      <c r="H12" s="29"/>
      <c r="I12" s="30">
        <v>0.05</v>
      </c>
      <c r="J12" s="30">
        <v>0.1</v>
      </c>
      <c r="K12" s="30">
        <v>0.2</v>
      </c>
      <c r="L12" s="30">
        <v>0.3</v>
      </c>
      <c r="M12" s="30">
        <v>0.4</v>
      </c>
      <c r="N12" s="30">
        <v>0.5</v>
      </c>
      <c r="O12" s="30">
        <v>0.55000000000000004</v>
      </c>
      <c r="P12" s="30">
        <v>0.6</v>
      </c>
      <c r="Q12" s="30">
        <v>0.625</v>
      </c>
      <c r="R12" s="30">
        <v>0.63</v>
      </c>
      <c r="S12" s="29"/>
    </row>
    <row r="13" spans="1:19" ht="27" x14ac:dyDescent="0.2">
      <c r="B13" s="7"/>
      <c r="C13" s="8" t="s">
        <v>261</v>
      </c>
      <c r="D13" s="27" t="s">
        <v>216</v>
      </c>
      <c r="E13" s="18"/>
      <c r="F13" s="8"/>
      <c r="G13" s="7" t="s">
        <v>260</v>
      </c>
      <c r="H13" s="6">
        <f>H11*(1-H12)</f>
        <v>280000</v>
      </c>
      <c r="I13" s="6">
        <f t="shared" ref="I13:S13" si="1">I11*(1-I12)</f>
        <v>266000</v>
      </c>
      <c r="J13" s="6">
        <f t="shared" si="1"/>
        <v>252000</v>
      </c>
      <c r="K13" s="6">
        <f t="shared" si="1"/>
        <v>224000</v>
      </c>
      <c r="L13" s="6">
        <f t="shared" si="1"/>
        <v>196000</v>
      </c>
      <c r="M13" s="6">
        <f t="shared" si="1"/>
        <v>168000</v>
      </c>
      <c r="N13" s="6">
        <f t="shared" si="1"/>
        <v>140000</v>
      </c>
      <c r="O13" s="6">
        <f t="shared" si="1"/>
        <v>125999.99999999999</v>
      </c>
      <c r="P13" s="6">
        <f t="shared" si="1"/>
        <v>112000</v>
      </c>
      <c r="Q13" s="6">
        <f t="shared" si="1"/>
        <v>105000</v>
      </c>
      <c r="R13" s="6">
        <f t="shared" si="1"/>
        <v>103600</v>
      </c>
      <c r="S13" s="6">
        <f t="shared" si="1"/>
        <v>0</v>
      </c>
    </row>
    <row r="14" spans="1:19" ht="13.5" x14ac:dyDescent="0.2">
      <c r="B14" s="7"/>
      <c r="C14" s="8" t="s">
        <v>467</v>
      </c>
      <c r="D14" s="8"/>
      <c r="E14" s="73">
        <v>0.02</v>
      </c>
      <c r="F14" s="8"/>
      <c r="G14" s="7" t="s">
        <v>490</v>
      </c>
      <c r="H14" s="72">
        <f>(1+$E14)^(H$35-2020)</f>
        <v>1.0404</v>
      </c>
      <c r="I14" s="72">
        <f t="shared" ref="I14:S14" si="2">(1+$E14)^(I$35-2020)</f>
        <v>1.0612079999999999</v>
      </c>
      <c r="J14" s="72">
        <f t="shared" si="2"/>
        <v>1.08243216</v>
      </c>
      <c r="K14" s="72">
        <f t="shared" si="2"/>
        <v>1.1040808032</v>
      </c>
      <c r="L14" s="72">
        <f t="shared" si="2"/>
        <v>1.1261624192640001</v>
      </c>
      <c r="M14" s="72">
        <f t="shared" si="2"/>
        <v>1.1486856676492798</v>
      </c>
      <c r="N14" s="72">
        <f t="shared" si="2"/>
        <v>1.1716593810022655</v>
      </c>
      <c r="O14" s="72">
        <f t="shared" si="2"/>
        <v>1.1950925686223108</v>
      </c>
      <c r="P14" s="72">
        <f t="shared" si="2"/>
        <v>1.2189944199947571</v>
      </c>
      <c r="Q14" s="72">
        <f t="shared" si="2"/>
        <v>1.243374308394652</v>
      </c>
      <c r="R14" s="72">
        <f t="shared" si="2"/>
        <v>1.2682417945625453</v>
      </c>
      <c r="S14" s="72">
        <f t="shared" si="2"/>
        <v>1.2936066304537961</v>
      </c>
    </row>
    <row r="15" spans="1:19" ht="13.5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 thickBot="1" x14ac:dyDescent="0.3">
      <c r="B16" s="22" t="s">
        <v>201</v>
      </c>
      <c r="C16" s="23"/>
    </row>
    <row r="17" spans="2:19" x14ac:dyDescent="0.2">
      <c r="B17" s="79" t="s">
        <v>451</v>
      </c>
      <c r="C17" s="79"/>
      <c r="D17" s="79"/>
      <c r="H17" s="79" t="s">
        <v>452</v>
      </c>
      <c r="I17" s="79"/>
      <c r="J17" s="79"/>
      <c r="K17" s="79"/>
    </row>
    <row r="18" spans="2:19" ht="40.5" x14ac:dyDescent="0.2">
      <c r="B18" s="4" t="s">
        <v>0</v>
      </c>
      <c r="C18" s="5" t="s">
        <v>1</v>
      </c>
      <c r="D18" s="5" t="s">
        <v>2</v>
      </c>
      <c r="E18" s="5" t="s">
        <v>3</v>
      </c>
      <c r="F18" s="5" t="s">
        <v>33</v>
      </c>
      <c r="G18" s="4" t="s">
        <v>35</v>
      </c>
      <c r="H18" s="4">
        <v>2022</v>
      </c>
      <c r="I18" s="4">
        <v>2023</v>
      </c>
      <c r="J18" s="4">
        <v>2024</v>
      </c>
      <c r="K18" s="4">
        <v>2025</v>
      </c>
      <c r="L18" s="4">
        <v>2026</v>
      </c>
      <c r="M18" s="4">
        <v>2027</v>
      </c>
      <c r="N18" s="4">
        <v>2028</v>
      </c>
      <c r="O18" s="4">
        <v>2029</v>
      </c>
      <c r="P18" s="4">
        <v>2030</v>
      </c>
      <c r="Q18" s="4">
        <v>2031</v>
      </c>
      <c r="R18" s="4">
        <v>2032</v>
      </c>
      <c r="S18" s="4">
        <v>2033</v>
      </c>
    </row>
    <row r="19" spans="2:19" ht="27" x14ac:dyDescent="0.2">
      <c r="B19" s="7" t="s">
        <v>221</v>
      </c>
      <c r="C19" s="8" t="s">
        <v>217</v>
      </c>
      <c r="D19" s="8" t="s">
        <v>210</v>
      </c>
      <c r="E19" s="34" t="s">
        <v>218</v>
      </c>
      <c r="F19" s="16">
        <f>[4]GNSS!$E$107</f>
        <v>2.6</v>
      </c>
      <c r="G19" s="7" t="s">
        <v>263</v>
      </c>
      <c r="H19" s="6">
        <f>$F19*H13*H8</f>
        <v>2184000</v>
      </c>
      <c r="I19" s="6">
        <f t="shared" ref="I19:R19" si="3">$F19*I13*I8</f>
        <v>8299200</v>
      </c>
      <c r="J19" s="6">
        <f t="shared" si="3"/>
        <v>7862400</v>
      </c>
      <c r="K19" s="6">
        <f t="shared" si="3"/>
        <v>6988800</v>
      </c>
      <c r="L19" s="6">
        <f t="shared" si="3"/>
        <v>6115200</v>
      </c>
      <c r="M19" s="6">
        <f t="shared" si="3"/>
        <v>5241600</v>
      </c>
      <c r="N19" s="6">
        <f t="shared" si="3"/>
        <v>4368000</v>
      </c>
      <c r="O19" s="6">
        <f t="shared" si="3"/>
        <v>3931200</v>
      </c>
      <c r="P19" s="6">
        <f t="shared" si="3"/>
        <v>3494400</v>
      </c>
      <c r="Q19" s="6">
        <f t="shared" si="3"/>
        <v>3276000</v>
      </c>
      <c r="R19" s="6">
        <f t="shared" si="3"/>
        <v>3232320</v>
      </c>
      <c r="S19" s="6">
        <f t="shared" ref="S19" si="4">$F19*S11*S8</f>
        <v>0</v>
      </c>
    </row>
    <row r="20" spans="2:19" ht="13.5" x14ac:dyDescent="0.2">
      <c r="B20" s="7" t="s">
        <v>222</v>
      </c>
      <c r="C20" s="8" t="s">
        <v>19</v>
      </c>
      <c r="D20" s="8" t="s">
        <v>466</v>
      </c>
      <c r="E20" s="27" t="s">
        <v>488</v>
      </c>
      <c r="F20" s="16">
        <f>'[2]Palubné jednotky (alt.1)'!$G$10</f>
        <v>8450</v>
      </c>
      <c r="G20" s="7" t="s">
        <v>491</v>
      </c>
      <c r="H20" s="6">
        <f>$F20*H14*H8</f>
        <v>26374.14</v>
      </c>
      <c r="I20" s="6">
        <f>$F20*I14*I8</f>
        <v>107606.49119999999</v>
      </c>
      <c r="J20" s="6">
        <f t="shared" ref="J20:R20" si="5">$F20*J14*J8</f>
        <v>109758.62102399999</v>
      </c>
      <c r="K20" s="6">
        <f t="shared" si="5"/>
        <v>111953.79344448</v>
      </c>
      <c r="L20" s="6">
        <f t="shared" si="5"/>
        <v>114192.86931336959</v>
      </c>
      <c r="M20" s="6">
        <f t="shared" si="5"/>
        <v>116476.72669963699</v>
      </c>
      <c r="N20" s="6">
        <f t="shared" si="5"/>
        <v>118806.26123362972</v>
      </c>
      <c r="O20" s="6">
        <f t="shared" si="5"/>
        <v>121182.38645830231</v>
      </c>
      <c r="P20" s="6">
        <f t="shared" si="5"/>
        <v>123606.03418746837</v>
      </c>
      <c r="Q20" s="6">
        <f t="shared" si="5"/>
        <v>126078.1548712177</v>
      </c>
      <c r="R20" s="6">
        <f t="shared" si="5"/>
        <v>128599.7179686421</v>
      </c>
      <c r="S20" s="6">
        <f>$F20*S14*S8</f>
        <v>0</v>
      </c>
    </row>
    <row r="21" spans="2:19" ht="27.75" customHeight="1" x14ac:dyDescent="0.2">
      <c r="B21" s="7" t="s">
        <v>223</v>
      </c>
      <c r="C21" s="8" t="s">
        <v>21</v>
      </c>
      <c r="D21" s="8" t="s">
        <v>13</v>
      </c>
      <c r="E21" s="8" t="s">
        <v>219</v>
      </c>
      <c r="F21" s="16">
        <v>0</v>
      </c>
      <c r="G21" s="7" t="s">
        <v>213</v>
      </c>
      <c r="H21" s="6">
        <f>$F21*H$8</f>
        <v>0</v>
      </c>
      <c r="I21" s="6">
        <f t="shared" ref="I21:S21" si="6">$F21*I$8</f>
        <v>0</v>
      </c>
      <c r="J21" s="6">
        <f t="shared" si="6"/>
        <v>0</v>
      </c>
      <c r="K21" s="6">
        <f t="shared" si="6"/>
        <v>0</v>
      </c>
      <c r="L21" s="6">
        <f t="shared" si="6"/>
        <v>0</v>
      </c>
      <c r="M21" s="6">
        <f t="shared" si="6"/>
        <v>0</v>
      </c>
      <c r="N21" s="6">
        <f t="shared" si="6"/>
        <v>0</v>
      </c>
      <c r="O21" s="6">
        <f t="shared" si="6"/>
        <v>0</v>
      </c>
      <c r="P21" s="6">
        <f t="shared" si="6"/>
        <v>0</v>
      </c>
      <c r="Q21" s="6">
        <f t="shared" si="6"/>
        <v>0</v>
      </c>
      <c r="R21" s="6">
        <f t="shared" si="6"/>
        <v>0</v>
      </c>
      <c r="S21" s="6">
        <f t="shared" si="6"/>
        <v>0</v>
      </c>
    </row>
    <row r="22" spans="2:19" ht="13.5" x14ac:dyDescent="0.2">
      <c r="B22" s="4"/>
      <c r="C22" s="5" t="s">
        <v>58</v>
      </c>
      <c r="D22" s="5"/>
      <c r="E22" s="5"/>
      <c r="F22" s="5"/>
      <c r="G22" s="4"/>
      <c r="H22" s="32">
        <f t="shared" ref="H22:S22" si="7">SUM(H19:H21)</f>
        <v>2210374.14</v>
      </c>
      <c r="I22" s="24">
        <f t="shared" si="7"/>
        <v>8406806.4912</v>
      </c>
      <c r="J22" s="24">
        <f t="shared" si="7"/>
        <v>7972158.6210239995</v>
      </c>
      <c r="K22" s="24">
        <f t="shared" si="7"/>
        <v>7100753.7934444798</v>
      </c>
      <c r="L22" s="24">
        <f t="shared" si="7"/>
        <v>6229392.8693133695</v>
      </c>
      <c r="M22" s="24">
        <f t="shared" si="7"/>
        <v>5358076.7266996372</v>
      </c>
      <c r="N22" s="24">
        <f t="shared" si="7"/>
        <v>4486806.2612336297</v>
      </c>
      <c r="O22" s="24">
        <f t="shared" si="7"/>
        <v>4052382.3864583024</v>
      </c>
      <c r="P22" s="24">
        <f t="shared" si="7"/>
        <v>3618006.0341874682</v>
      </c>
      <c r="Q22" s="24">
        <f t="shared" si="7"/>
        <v>3402078.1548712179</v>
      </c>
      <c r="R22" s="24">
        <f t="shared" si="7"/>
        <v>3360919.7179686422</v>
      </c>
      <c r="S22" s="32">
        <f t="shared" si="7"/>
        <v>0</v>
      </c>
    </row>
    <row r="23" spans="2:19" ht="13.5" x14ac:dyDescent="0.2">
      <c r="B23" s="4"/>
      <c r="C23" s="5" t="s">
        <v>410</v>
      </c>
      <c r="D23" s="5" t="s">
        <v>411</v>
      </c>
      <c r="E23" s="5"/>
      <c r="F23" s="62">
        <v>0.04</v>
      </c>
      <c r="G23" s="4"/>
      <c r="H23" s="32">
        <f>H22/((1+$F23)^(H18-2020))</f>
        <v>2043615.144230769</v>
      </c>
      <c r="I23" s="32">
        <f t="shared" ref="I23:S23" si="8">I22/((1+$F23)^(I18-2020))</f>
        <v>7473620.35872781</v>
      </c>
      <c r="J23" s="32">
        <f t="shared" si="8"/>
        <v>6814634.600805073</v>
      </c>
      <c r="K23" s="32">
        <f t="shared" si="8"/>
        <v>5836302.0212563118</v>
      </c>
      <c r="L23" s="32">
        <f t="shared" si="8"/>
        <v>4923179.6710981475</v>
      </c>
      <c r="M23" s="32">
        <f t="shared" si="8"/>
        <v>4071697.9491224573</v>
      </c>
      <c r="N23" s="32">
        <f t="shared" si="8"/>
        <v>3278465.386824985</v>
      </c>
      <c r="O23" s="32">
        <f t="shared" si="8"/>
        <v>2847150.1122188894</v>
      </c>
      <c r="P23" s="32">
        <f t="shared" si="8"/>
        <v>2444195.2392925806</v>
      </c>
      <c r="Q23" s="32">
        <f t="shared" si="8"/>
        <v>2209925.0970922895</v>
      </c>
      <c r="R23" s="32">
        <f t="shared" si="8"/>
        <v>2099220.5397186787</v>
      </c>
      <c r="S23" s="32">
        <f t="shared" si="8"/>
        <v>0</v>
      </c>
    </row>
    <row r="24" spans="2:19" ht="27" x14ac:dyDescent="0.2">
      <c r="H24" s="17" t="s">
        <v>378</v>
      </c>
    </row>
    <row r="25" spans="2:19" x14ac:dyDescent="0.2">
      <c r="C25" s="43" t="s">
        <v>375</v>
      </c>
      <c r="H25" s="43">
        <v>0</v>
      </c>
    </row>
    <row r="26" spans="2:19" x14ac:dyDescent="0.2">
      <c r="C26" s="43" t="s">
        <v>376</v>
      </c>
      <c r="G26"/>
      <c r="H26" s="43">
        <f>H20</f>
        <v>26374.14</v>
      </c>
    </row>
    <row r="27" spans="2:19" x14ac:dyDescent="0.2">
      <c r="C27" s="43" t="s">
        <v>377</v>
      </c>
      <c r="H27" s="43">
        <f>H19</f>
        <v>2184000</v>
      </c>
    </row>
    <row r="28" spans="2:19" ht="13.5" x14ac:dyDescent="0.2">
      <c r="H28" s="6">
        <f>SUM(H25:H27)</f>
        <v>2210374.14</v>
      </c>
    </row>
    <row r="29" spans="2:19" x14ac:dyDescent="0.2">
      <c r="C29" s="43" t="s">
        <v>395</v>
      </c>
      <c r="I29" s="43">
        <f>I22</f>
        <v>8406806.4912</v>
      </c>
      <c r="J29" s="43">
        <f t="shared" ref="J29:S29" si="9">J22</f>
        <v>7972158.6210239995</v>
      </c>
      <c r="K29" s="43">
        <f t="shared" si="9"/>
        <v>7100753.7934444798</v>
      </c>
      <c r="L29" s="43">
        <f t="shared" si="9"/>
        <v>6229392.8693133695</v>
      </c>
      <c r="M29" s="43">
        <f t="shared" si="9"/>
        <v>5358076.7266996372</v>
      </c>
      <c r="N29" s="76">
        <f t="shared" si="9"/>
        <v>4486806.2612336297</v>
      </c>
      <c r="O29" s="76">
        <f t="shared" si="9"/>
        <v>4052382.3864583024</v>
      </c>
      <c r="P29" s="76">
        <f t="shared" si="9"/>
        <v>3618006.0341874682</v>
      </c>
      <c r="Q29" s="76">
        <f t="shared" si="9"/>
        <v>3402078.1548712179</v>
      </c>
      <c r="R29" s="76">
        <f t="shared" si="9"/>
        <v>3360919.7179686422</v>
      </c>
      <c r="S29" s="76">
        <f t="shared" si="9"/>
        <v>0</v>
      </c>
    </row>
    <row r="31" spans="2:19" ht="18" thickBot="1" x14ac:dyDescent="0.25">
      <c r="B31" s="80" t="s">
        <v>262</v>
      </c>
      <c r="C31" s="80"/>
      <c r="D31" s="80"/>
      <c r="E31" s="80"/>
      <c r="F31" s="80"/>
      <c r="G31" s="80"/>
    </row>
    <row r="32" spans="2:19" ht="13.5" thickTop="1" x14ac:dyDescent="0.2"/>
    <row r="33" spans="2:19" ht="15.75" thickBot="1" x14ac:dyDescent="0.3">
      <c r="B33" s="22" t="s">
        <v>50</v>
      </c>
      <c r="C33" s="23"/>
    </row>
    <row r="35" spans="2:19" ht="13.5" x14ac:dyDescent="0.2">
      <c r="B35" s="71"/>
      <c r="C35" s="21" t="s">
        <v>48</v>
      </c>
      <c r="D35" s="71" t="s">
        <v>51</v>
      </c>
      <c r="E35" s="71" t="s">
        <v>53</v>
      </c>
      <c r="F35" s="71"/>
      <c r="G35" s="71" t="s">
        <v>35</v>
      </c>
      <c r="H35" s="71">
        <v>2022</v>
      </c>
      <c r="I35" s="71">
        <v>2023</v>
      </c>
      <c r="J35" s="71">
        <v>2024</v>
      </c>
      <c r="K35" s="71">
        <v>2025</v>
      </c>
      <c r="L35" s="71">
        <v>2026</v>
      </c>
      <c r="M35" s="71">
        <v>2027</v>
      </c>
      <c r="N35" s="71">
        <v>2028</v>
      </c>
      <c r="O35" s="71">
        <v>2029</v>
      </c>
      <c r="P35" s="71">
        <v>2030</v>
      </c>
      <c r="Q35" s="71">
        <v>2031</v>
      </c>
      <c r="R35" s="71">
        <v>2032</v>
      </c>
      <c r="S35" s="71">
        <v>2033</v>
      </c>
    </row>
    <row r="36" spans="2:19" x14ac:dyDescent="0.2">
      <c r="B36" s="11"/>
      <c r="C36" s="11"/>
      <c r="D36" s="11"/>
      <c r="E36" s="12"/>
      <c r="F36" s="12"/>
      <c r="G36" s="12">
        <v>1</v>
      </c>
      <c r="H36" s="12">
        <v>2</v>
      </c>
      <c r="I36" s="12">
        <v>3</v>
      </c>
      <c r="J36" s="12">
        <v>4</v>
      </c>
      <c r="K36" s="12">
        <v>5</v>
      </c>
      <c r="L36" s="12">
        <v>6</v>
      </c>
      <c r="M36" s="12">
        <v>7</v>
      </c>
      <c r="N36" s="12">
        <v>8</v>
      </c>
      <c r="O36" s="12">
        <v>9</v>
      </c>
      <c r="P36" s="12">
        <v>10</v>
      </c>
      <c r="Q36" s="12">
        <v>11</v>
      </c>
      <c r="R36" s="12">
        <v>12</v>
      </c>
      <c r="S36" s="12">
        <v>13</v>
      </c>
    </row>
    <row r="37" spans="2:19" ht="13.5" x14ac:dyDescent="0.2">
      <c r="B37" s="7"/>
      <c r="C37" s="8" t="s">
        <v>467</v>
      </c>
      <c r="D37" s="8"/>
      <c r="E37" s="73">
        <v>0.02</v>
      </c>
      <c r="F37" s="8"/>
      <c r="G37" s="7" t="s">
        <v>483</v>
      </c>
      <c r="H37" s="72">
        <f>(1+$E37)^(H$35-2020)</f>
        <v>1.0404</v>
      </c>
      <c r="I37" s="72">
        <f t="shared" ref="I37:S37" si="10">(1+$E37)^(I$35-2020)</f>
        <v>1.0612079999999999</v>
      </c>
      <c r="J37" s="72">
        <f t="shared" si="10"/>
        <v>1.08243216</v>
      </c>
      <c r="K37" s="72">
        <f t="shared" si="10"/>
        <v>1.1040808032</v>
      </c>
      <c r="L37" s="72">
        <f t="shared" si="10"/>
        <v>1.1261624192640001</v>
      </c>
      <c r="M37" s="72">
        <f t="shared" si="10"/>
        <v>1.1486856676492798</v>
      </c>
      <c r="N37" s="72">
        <f t="shared" si="10"/>
        <v>1.1716593810022655</v>
      </c>
      <c r="O37" s="72">
        <f t="shared" si="10"/>
        <v>1.1950925686223108</v>
      </c>
      <c r="P37" s="72">
        <f t="shared" si="10"/>
        <v>1.2189944199947571</v>
      </c>
      <c r="Q37" s="72">
        <f t="shared" si="10"/>
        <v>1.243374308394652</v>
      </c>
      <c r="R37" s="72">
        <f t="shared" si="10"/>
        <v>1.2682417945625453</v>
      </c>
      <c r="S37" s="72">
        <f t="shared" si="10"/>
        <v>1.2936066304537961</v>
      </c>
    </row>
    <row r="38" spans="2:19" ht="13.5" x14ac:dyDescent="0.2">
      <c r="B38" s="7"/>
      <c r="C38" s="8" t="s">
        <v>36</v>
      </c>
      <c r="D38" s="27" t="s">
        <v>216</v>
      </c>
      <c r="E38" s="8"/>
      <c r="F38" s="8"/>
      <c r="G38" s="7" t="s">
        <v>39</v>
      </c>
      <c r="H38" s="6">
        <v>6</v>
      </c>
      <c r="I38" s="6">
        <f>[4]GNSS!I41</f>
        <v>12</v>
      </c>
      <c r="J38" s="6">
        <f>[4]GNSS!J41</f>
        <v>12</v>
      </c>
      <c r="K38" s="6">
        <f>[4]GNSS!K41</f>
        <v>12</v>
      </c>
      <c r="L38" s="6">
        <f>[4]GNSS!L41</f>
        <v>12</v>
      </c>
      <c r="M38" s="6">
        <f>[4]GNSS!M41</f>
        <v>12</v>
      </c>
      <c r="N38" s="6">
        <f>[4]GNSS!N41</f>
        <v>12</v>
      </c>
      <c r="O38" s="6">
        <f>[4]GNSS!O41</f>
        <v>12</v>
      </c>
      <c r="P38" s="6">
        <f>[4]GNSS!P41</f>
        <v>12</v>
      </c>
      <c r="Q38" s="6">
        <f>[4]GNSS!Q41</f>
        <v>12</v>
      </c>
      <c r="R38" s="6">
        <f>[4]GNSS!R41</f>
        <v>12</v>
      </c>
      <c r="S38" s="6">
        <v>6</v>
      </c>
    </row>
    <row r="39" spans="2:19" ht="13.5" x14ac:dyDescent="0.2">
      <c r="B39" s="7"/>
      <c r="C39" s="8" t="s">
        <v>211</v>
      </c>
      <c r="D39" s="27" t="s">
        <v>216</v>
      </c>
      <c r="E39" s="18"/>
      <c r="F39" s="8"/>
      <c r="G39" s="7" t="s">
        <v>40</v>
      </c>
      <c r="H39" s="6">
        <f>[4]GNSS!H42</f>
        <v>420000</v>
      </c>
      <c r="I39" s="6">
        <f>[4]GNSS!I42</f>
        <v>0</v>
      </c>
      <c r="J39" s="6">
        <f>[4]GNSS!J42</f>
        <v>0</v>
      </c>
      <c r="K39" s="6">
        <f>[4]GNSS!K42</f>
        <v>0</v>
      </c>
      <c r="L39" s="6">
        <f>[4]GNSS!L42</f>
        <v>0</v>
      </c>
      <c r="M39" s="6">
        <f>[4]GNSS!M42</f>
        <v>0</v>
      </c>
      <c r="N39" s="6">
        <f>[4]GNSS!N42</f>
        <v>0</v>
      </c>
      <c r="O39" s="6">
        <f>[4]GNSS!O42</f>
        <v>0</v>
      </c>
      <c r="P39" s="6">
        <f>[4]GNSS!P42</f>
        <v>0</v>
      </c>
      <c r="Q39" s="6">
        <f>[4]GNSS!Q42</f>
        <v>0</v>
      </c>
      <c r="R39" s="6">
        <f>[4]GNSS!R42</f>
        <v>0</v>
      </c>
      <c r="S39" s="6">
        <f>[4]GNSS!S42</f>
        <v>0</v>
      </c>
    </row>
    <row r="40" spans="2:19" ht="16.5" customHeight="1" x14ac:dyDescent="0.2">
      <c r="B40" s="7"/>
      <c r="C40" s="8" t="s">
        <v>438</v>
      </c>
      <c r="D40" s="27"/>
      <c r="E40" s="19">
        <v>0.1</v>
      </c>
      <c r="F40" s="8"/>
      <c r="G40" s="7" t="s">
        <v>42</v>
      </c>
      <c r="H40" s="6"/>
      <c r="I40" s="6">
        <f>$E40*I43</f>
        <v>26600</v>
      </c>
      <c r="J40" s="6">
        <f t="shared" ref="J40:Q40" si="11">$E40*J43</f>
        <v>25200</v>
      </c>
      <c r="K40" s="6">
        <f t="shared" si="11"/>
        <v>22400</v>
      </c>
      <c r="L40" s="6">
        <f t="shared" si="11"/>
        <v>19600</v>
      </c>
      <c r="M40" s="6">
        <f t="shared" si="11"/>
        <v>16800</v>
      </c>
      <c r="N40" s="6">
        <f t="shared" si="11"/>
        <v>14000</v>
      </c>
      <c r="O40" s="6">
        <f t="shared" si="11"/>
        <v>12600</v>
      </c>
      <c r="P40" s="6">
        <f t="shared" si="11"/>
        <v>11200</v>
      </c>
      <c r="Q40" s="6">
        <f t="shared" si="11"/>
        <v>10500</v>
      </c>
      <c r="R40" s="6"/>
      <c r="S40" s="6"/>
    </row>
    <row r="41" spans="2:19" ht="13.5" x14ac:dyDescent="0.2">
      <c r="B41" s="7"/>
      <c r="C41" s="8" t="s">
        <v>212</v>
      </c>
      <c r="D41" s="27" t="s">
        <v>216</v>
      </c>
      <c r="E41" s="18"/>
      <c r="F41" s="8"/>
      <c r="G41" s="7" t="s">
        <v>265</v>
      </c>
      <c r="H41" s="6">
        <f>[4]GNSS!H44</f>
        <v>280000</v>
      </c>
      <c r="I41" s="6">
        <f>[4]GNSS!I44</f>
        <v>280000</v>
      </c>
      <c r="J41" s="6">
        <f>[4]GNSS!J44</f>
        <v>280000</v>
      </c>
      <c r="K41" s="6">
        <f>[4]GNSS!K44</f>
        <v>280000</v>
      </c>
      <c r="L41" s="6">
        <f>[4]GNSS!L44</f>
        <v>280000</v>
      </c>
      <c r="M41" s="6">
        <f>[4]GNSS!M44</f>
        <v>280000</v>
      </c>
      <c r="N41" s="6">
        <f>[4]GNSS!N44</f>
        <v>280000</v>
      </c>
      <c r="O41" s="6">
        <f>[4]GNSS!O44</f>
        <v>280000</v>
      </c>
      <c r="P41" s="6">
        <f>[4]GNSS!P44</f>
        <v>280000</v>
      </c>
      <c r="Q41" s="6">
        <f>[4]GNSS!Q44</f>
        <v>280000</v>
      </c>
      <c r="R41" s="6">
        <f>[4]GNSS!R44</f>
        <v>280000</v>
      </c>
      <c r="S41" s="6">
        <f>[4]GNSS!S44</f>
        <v>0</v>
      </c>
    </row>
    <row r="42" spans="2:19" ht="13.5" x14ac:dyDescent="0.2">
      <c r="B42" s="7"/>
      <c r="C42" s="8" t="s">
        <v>166</v>
      </c>
      <c r="D42" s="8"/>
      <c r="E42" s="8"/>
      <c r="F42" s="8"/>
      <c r="G42" s="7" t="s">
        <v>439</v>
      </c>
      <c r="H42" s="29"/>
      <c r="I42" s="30">
        <v>0.05</v>
      </c>
      <c r="J42" s="30">
        <v>0.1</v>
      </c>
      <c r="K42" s="30">
        <v>0.2</v>
      </c>
      <c r="L42" s="30">
        <v>0.3</v>
      </c>
      <c r="M42" s="30">
        <v>0.4</v>
      </c>
      <c r="N42" s="30">
        <v>0.5</v>
      </c>
      <c r="O42" s="30">
        <v>0.55000000000000004</v>
      </c>
      <c r="P42" s="30">
        <v>0.6</v>
      </c>
      <c r="Q42" s="30">
        <v>0.625</v>
      </c>
      <c r="R42" s="30">
        <v>0.63</v>
      </c>
      <c r="S42" s="29"/>
    </row>
    <row r="43" spans="2:19" ht="27" x14ac:dyDescent="0.2">
      <c r="B43" s="7"/>
      <c r="C43" s="8" t="s">
        <v>261</v>
      </c>
      <c r="D43" s="27" t="s">
        <v>216</v>
      </c>
      <c r="E43" s="18"/>
      <c r="F43" s="8"/>
      <c r="G43" s="7" t="s">
        <v>440</v>
      </c>
      <c r="H43" s="6">
        <f>H41*(1-H42)</f>
        <v>280000</v>
      </c>
      <c r="I43" s="6">
        <f t="shared" ref="I43:S43" si="12">I41*(1-I42)</f>
        <v>266000</v>
      </c>
      <c r="J43" s="6">
        <f t="shared" si="12"/>
        <v>252000</v>
      </c>
      <c r="K43" s="6">
        <f t="shared" si="12"/>
        <v>224000</v>
      </c>
      <c r="L43" s="6">
        <f t="shared" si="12"/>
        <v>196000</v>
      </c>
      <c r="M43" s="6">
        <f t="shared" si="12"/>
        <v>168000</v>
      </c>
      <c r="N43" s="6">
        <f t="shared" si="12"/>
        <v>140000</v>
      </c>
      <c r="O43" s="6">
        <f t="shared" si="12"/>
        <v>125999.99999999999</v>
      </c>
      <c r="P43" s="6">
        <f t="shared" si="12"/>
        <v>112000</v>
      </c>
      <c r="Q43" s="6">
        <f t="shared" si="12"/>
        <v>105000</v>
      </c>
      <c r="R43" s="6">
        <f t="shared" si="12"/>
        <v>103600</v>
      </c>
      <c r="S43" s="6">
        <f t="shared" si="12"/>
        <v>0</v>
      </c>
    </row>
    <row r="44" spans="2:19" ht="13.5" x14ac:dyDescent="0.2">
      <c r="B44" s="7"/>
      <c r="C44" s="8" t="s">
        <v>461</v>
      </c>
      <c r="D44" s="8"/>
      <c r="E44" s="8"/>
      <c r="F44" s="8"/>
      <c r="G44" s="7" t="s">
        <v>462</v>
      </c>
      <c r="H44" s="6">
        <f>ROUND(3*(1-H42),0)</f>
        <v>3</v>
      </c>
      <c r="I44" s="6">
        <f t="shared" ref="I44:R44" si="13">ROUND(3*(1-I42),0)</f>
        <v>3</v>
      </c>
      <c r="J44" s="6">
        <f t="shared" si="13"/>
        <v>3</v>
      </c>
      <c r="K44" s="6">
        <f t="shared" si="13"/>
        <v>2</v>
      </c>
      <c r="L44" s="6">
        <f t="shared" si="13"/>
        <v>2</v>
      </c>
      <c r="M44" s="6">
        <f t="shared" si="13"/>
        <v>2</v>
      </c>
      <c r="N44" s="6">
        <f t="shared" si="13"/>
        <v>2</v>
      </c>
      <c r="O44" s="6">
        <f t="shared" si="13"/>
        <v>1</v>
      </c>
      <c r="P44" s="6">
        <f t="shared" si="13"/>
        <v>1</v>
      </c>
      <c r="Q44" s="6">
        <f t="shared" si="13"/>
        <v>1</v>
      </c>
      <c r="R44" s="6">
        <f t="shared" si="13"/>
        <v>1</v>
      </c>
      <c r="S44" s="6">
        <f>R44</f>
        <v>1</v>
      </c>
    </row>
    <row r="45" spans="2:19" x14ac:dyDescent="0.2">
      <c r="B45" s="84" t="s">
        <v>453</v>
      </c>
      <c r="C45" s="84"/>
      <c r="D45" s="84"/>
      <c r="H45" s="79" t="s">
        <v>454</v>
      </c>
      <c r="I45" s="79"/>
      <c r="J45" s="79"/>
      <c r="K45" s="79"/>
    </row>
    <row r="46" spans="2:19" ht="40.5" x14ac:dyDescent="0.2">
      <c r="B46" s="4" t="s">
        <v>0</v>
      </c>
      <c r="C46" s="5" t="s">
        <v>1</v>
      </c>
      <c r="D46" s="5" t="s">
        <v>2</v>
      </c>
      <c r="E46" s="5" t="s">
        <v>3</v>
      </c>
      <c r="F46" s="5" t="s">
        <v>33</v>
      </c>
      <c r="G46" s="4" t="s">
        <v>35</v>
      </c>
      <c r="H46" s="4">
        <v>2022</v>
      </c>
      <c r="I46" s="4">
        <v>2023</v>
      </c>
      <c r="J46" s="4">
        <v>2024</v>
      </c>
      <c r="K46" s="4">
        <v>2025</v>
      </c>
      <c r="L46" s="4">
        <v>2026</v>
      </c>
      <c r="M46" s="4">
        <v>2027</v>
      </c>
      <c r="N46" s="4">
        <v>2028</v>
      </c>
      <c r="O46" s="4">
        <v>2029</v>
      </c>
      <c r="P46" s="4">
        <v>2030</v>
      </c>
      <c r="Q46" s="4">
        <v>2031</v>
      </c>
      <c r="R46" s="4">
        <v>2032</v>
      </c>
      <c r="S46" s="4">
        <v>2033</v>
      </c>
    </row>
    <row r="47" spans="2:19" s="25" customFormat="1" ht="13.5" x14ac:dyDescent="0.2">
      <c r="B47" s="7" t="s">
        <v>240</v>
      </c>
      <c r="C47" s="8" t="s">
        <v>224</v>
      </c>
      <c r="D47" s="8" t="s">
        <v>78</v>
      </c>
      <c r="E47" s="8" t="s">
        <v>55</v>
      </c>
      <c r="F47" s="16">
        <v>750000</v>
      </c>
      <c r="G47" s="7"/>
      <c r="H47" s="6">
        <f>F47</f>
        <v>750000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2:19" s="25" customFormat="1" ht="13.5" x14ac:dyDescent="0.2">
      <c r="B48" s="7" t="s">
        <v>241</v>
      </c>
      <c r="C48" s="8" t="s">
        <v>225</v>
      </c>
      <c r="D48" s="8" t="s">
        <v>226</v>
      </c>
      <c r="E48" s="27" t="s">
        <v>216</v>
      </c>
      <c r="F48" s="16">
        <f>[4]GNSS!$C$45</f>
        <v>85</v>
      </c>
      <c r="G48" s="7" t="s">
        <v>266</v>
      </c>
      <c r="H48" s="6">
        <f>$F48*SUM(H39:H40)</f>
        <v>35700000</v>
      </c>
      <c r="I48" s="6">
        <f t="shared" ref="I48:S48" si="14">$F48*SUM(I39:I40)</f>
        <v>2261000</v>
      </c>
      <c r="J48" s="6">
        <f t="shared" si="14"/>
        <v>2142000</v>
      </c>
      <c r="K48" s="6">
        <f t="shared" si="14"/>
        <v>1904000</v>
      </c>
      <c r="L48" s="6">
        <f t="shared" si="14"/>
        <v>1666000</v>
      </c>
      <c r="M48" s="6">
        <f t="shared" si="14"/>
        <v>1428000</v>
      </c>
      <c r="N48" s="6">
        <f t="shared" si="14"/>
        <v>1190000</v>
      </c>
      <c r="O48" s="6">
        <f t="shared" si="14"/>
        <v>1071000</v>
      </c>
      <c r="P48" s="6">
        <f t="shared" si="14"/>
        <v>952000</v>
      </c>
      <c r="Q48" s="6">
        <f t="shared" si="14"/>
        <v>892500</v>
      </c>
      <c r="R48" s="6">
        <f t="shared" si="14"/>
        <v>0</v>
      </c>
      <c r="S48" s="6">
        <f t="shared" si="14"/>
        <v>0</v>
      </c>
    </row>
    <row r="49" spans="2:19" s="25" customFormat="1" ht="13.5" x14ac:dyDescent="0.2">
      <c r="B49" s="7" t="s">
        <v>242</v>
      </c>
      <c r="C49" s="8" t="s">
        <v>227</v>
      </c>
      <c r="D49" s="8" t="s">
        <v>228</v>
      </c>
      <c r="E49" s="8" t="s">
        <v>55</v>
      </c>
      <c r="F49" s="16">
        <v>6.5</v>
      </c>
      <c r="G49" s="7" t="s">
        <v>42</v>
      </c>
      <c r="H49" s="6">
        <f>$F49*H40</f>
        <v>0</v>
      </c>
      <c r="I49" s="6">
        <f>$F49*I40</f>
        <v>172900</v>
      </c>
      <c r="J49" s="6">
        <f t="shared" ref="J49:S49" si="15">$F49*J40</f>
        <v>163800</v>
      </c>
      <c r="K49" s="6">
        <f t="shared" si="15"/>
        <v>145600</v>
      </c>
      <c r="L49" s="6">
        <f t="shared" si="15"/>
        <v>127400</v>
      </c>
      <c r="M49" s="6">
        <f t="shared" si="15"/>
        <v>109200</v>
      </c>
      <c r="N49" s="6">
        <f t="shared" si="15"/>
        <v>91000</v>
      </c>
      <c r="O49" s="6">
        <f t="shared" si="15"/>
        <v>81900</v>
      </c>
      <c r="P49" s="6">
        <f t="shared" si="15"/>
        <v>72800</v>
      </c>
      <c r="Q49" s="6">
        <f t="shared" si="15"/>
        <v>68250</v>
      </c>
      <c r="R49" s="6">
        <f t="shared" si="15"/>
        <v>0</v>
      </c>
      <c r="S49" s="6">
        <f t="shared" si="15"/>
        <v>0</v>
      </c>
    </row>
    <row r="50" spans="2:19" s="25" customFormat="1" ht="27" x14ac:dyDescent="0.2">
      <c r="B50" s="7" t="s">
        <v>243</v>
      </c>
      <c r="C50" s="8" t="s">
        <v>229</v>
      </c>
      <c r="D50" s="8" t="s">
        <v>464</v>
      </c>
      <c r="E50" s="8" t="s">
        <v>256</v>
      </c>
      <c r="F50" s="16">
        <f>(500*8.5+1600)</f>
        <v>5850</v>
      </c>
      <c r="G50" s="7" t="s">
        <v>463</v>
      </c>
      <c r="H50" s="6">
        <f>$F50*H$44*H$38</f>
        <v>105300</v>
      </c>
      <c r="I50" s="6">
        <f t="shared" ref="I50:S50" si="16">$F50*I$44*I$38</f>
        <v>210600</v>
      </c>
      <c r="J50" s="6">
        <f t="shared" si="16"/>
        <v>210600</v>
      </c>
      <c r="K50" s="6">
        <f t="shared" si="16"/>
        <v>140400</v>
      </c>
      <c r="L50" s="6">
        <f t="shared" si="16"/>
        <v>140400</v>
      </c>
      <c r="M50" s="6">
        <f t="shared" si="16"/>
        <v>140400</v>
      </c>
      <c r="N50" s="6">
        <f t="shared" si="16"/>
        <v>140400</v>
      </c>
      <c r="O50" s="6">
        <f t="shared" si="16"/>
        <v>70200</v>
      </c>
      <c r="P50" s="6">
        <f t="shared" si="16"/>
        <v>70200</v>
      </c>
      <c r="Q50" s="6">
        <f t="shared" si="16"/>
        <v>70200</v>
      </c>
      <c r="R50" s="6">
        <f t="shared" si="16"/>
        <v>70200</v>
      </c>
      <c r="S50" s="6">
        <f t="shared" si="16"/>
        <v>35100</v>
      </c>
    </row>
    <row r="51" spans="2:19" s="25" customFormat="1" ht="13.5" x14ac:dyDescent="0.2">
      <c r="B51" s="7" t="s">
        <v>244</v>
      </c>
      <c r="C51" s="8" t="s">
        <v>484</v>
      </c>
      <c r="D51" s="8" t="s">
        <v>466</v>
      </c>
      <c r="E51" s="27" t="s">
        <v>482</v>
      </c>
      <c r="F51" s="16">
        <f>'[2]Palubné jednotky (alt.2)'!$G$45</f>
        <v>19450</v>
      </c>
      <c r="G51" s="7"/>
      <c r="H51" s="6">
        <f>$F51*H38*H44*H37</f>
        <v>364244.04</v>
      </c>
      <c r="I51" s="6">
        <f>$F51*I38*I44*I37</f>
        <v>743057.84159999993</v>
      </c>
      <c r="J51" s="6">
        <f t="shared" ref="J51:S51" si="17">$F51*J38*J44*J37</f>
        <v>757918.99843199993</v>
      </c>
      <c r="K51" s="6">
        <f t="shared" si="17"/>
        <v>515384.91893376003</v>
      </c>
      <c r="L51" s="6">
        <f t="shared" si="17"/>
        <v>525692.61731243518</v>
      </c>
      <c r="M51" s="6">
        <f t="shared" si="17"/>
        <v>536206.46965868387</v>
      </c>
      <c r="N51" s="6">
        <f t="shared" si="17"/>
        <v>546930.5990518576</v>
      </c>
      <c r="O51" s="6">
        <f t="shared" si="17"/>
        <v>278934.60551644734</v>
      </c>
      <c r="P51" s="6">
        <f t="shared" si="17"/>
        <v>284513.29762677633</v>
      </c>
      <c r="Q51" s="6">
        <f t="shared" si="17"/>
        <v>290203.56357931177</v>
      </c>
      <c r="R51" s="6">
        <f t="shared" si="17"/>
        <v>296007.63485089806</v>
      </c>
      <c r="S51" s="6">
        <f t="shared" si="17"/>
        <v>150963.893773958</v>
      </c>
    </row>
    <row r="52" spans="2:19" s="25" customFormat="1" ht="27" x14ac:dyDescent="0.2">
      <c r="B52" s="7" t="s">
        <v>245</v>
      </c>
      <c r="C52" s="8" t="s">
        <v>230</v>
      </c>
      <c r="D52" s="8" t="s">
        <v>257</v>
      </c>
      <c r="E52" s="8" t="s">
        <v>55</v>
      </c>
      <c r="F52" s="16">
        <v>14000</v>
      </c>
      <c r="G52" s="7" t="s">
        <v>39</v>
      </c>
      <c r="H52" s="6">
        <f t="shared" ref="H52:S54" si="18">$F52*H$38</f>
        <v>84000</v>
      </c>
      <c r="I52" s="6">
        <f>$F52*I$38</f>
        <v>168000</v>
      </c>
      <c r="J52" s="6">
        <f t="shared" si="18"/>
        <v>168000</v>
      </c>
      <c r="K52" s="6">
        <f t="shared" si="18"/>
        <v>168000</v>
      </c>
      <c r="L52" s="6">
        <f t="shared" si="18"/>
        <v>168000</v>
      </c>
      <c r="M52" s="6">
        <f t="shared" si="18"/>
        <v>168000</v>
      </c>
      <c r="N52" s="6">
        <f t="shared" si="18"/>
        <v>168000</v>
      </c>
      <c r="O52" s="6">
        <f t="shared" si="18"/>
        <v>168000</v>
      </c>
      <c r="P52" s="6">
        <f t="shared" si="18"/>
        <v>168000</v>
      </c>
      <c r="Q52" s="6">
        <f t="shared" si="18"/>
        <v>168000</v>
      </c>
      <c r="R52" s="6">
        <f t="shared" si="18"/>
        <v>168000</v>
      </c>
      <c r="S52" s="6">
        <f t="shared" si="18"/>
        <v>84000</v>
      </c>
    </row>
    <row r="53" spans="2:19" s="25" customFormat="1" ht="27" x14ac:dyDescent="0.2">
      <c r="B53" s="7" t="s">
        <v>246</v>
      </c>
      <c r="C53" s="8" t="s">
        <v>231</v>
      </c>
      <c r="D53" s="8" t="s">
        <v>257</v>
      </c>
      <c r="E53" s="8" t="s">
        <v>158</v>
      </c>
      <c r="F53" s="16">
        <f>3*600</f>
        <v>1800</v>
      </c>
      <c r="G53" s="7" t="s">
        <v>39</v>
      </c>
      <c r="H53" s="6">
        <f t="shared" si="18"/>
        <v>10800</v>
      </c>
      <c r="I53" s="6">
        <f t="shared" si="18"/>
        <v>21600</v>
      </c>
      <c r="J53" s="6">
        <f t="shared" si="18"/>
        <v>21600</v>
      </c>
      <c r="K53" s="6">
        <f t="shared" si="18"/>
        <v>21600</v>
      </c>
      <c r="L53" s="6">
        <f t="shared" si="18"/>
        <v>21600</v>
      </c>
      <c r="M53" s="6">
        <f t="shared" si="18"/>
        <v>21600</v>
      </c>
      <c r="N53" s="6">
        <f t="shared" si="18"/>
        <v>21600</v>
      </c>
      <c r="O53" s="6">
        <f t="shared" si="18"/>
        <v>21600</v>
      </c>
      <c r="P53" s="6">
        <f t="shared" si="18"/>
        <v>21600</v>
      </c>
      <c r="Q53" s="6">
        <f t="shared" si="18"/>
        <v>21600</v>
      </c>
      <c r="R53" s="6">
        <f t="shared" si="18"/>
        <v>21600</v>
      </c>
      <c r="S53" s="6">
        <f t="shared" si="18"/>
        <v>10800</v>
      </c>
    </row>
    <row r="54" spans="2:19" s="25" customFormat="1" ht="13.5" x14ac:dyDescent="0.2">
      <c r="B54" s="7" t="s">
        <v>247</v>
      </c>
      <c r="C54" s="8" t="s">
        <v>232</v>
      </c>
      <c r="D54" s="8" t="s">
        <v>13</v>
      </c>
      <c r="E54" s="8" t="s">
        <v>55</v>
      </c>
      <c r="F54" s="16">
        <f>4%*F47/12</f>
        <v>2500</v>
      </c>
      <c r="G54" s="7" t="s">
        <v>39</v>
      </c>
      <c r="H54" s="6">
        <f t="shared" si="18"/>
        <v>15000</v>
      </c>
      <c r="I54" s="6">
        <f t="shared" si="18"/>
        <v>30000</v>
      </c>
      <c r="J54" s="6">
        <f t="shared" si="18"/>
        <v>30000</v>
      </c>
      <c r="K54" s="6">
        <f t="shared" si="18"/>
        <v>30000</v>
      </c>
      <c r="L54" s="6">
        <f t="shared" si="18"/>
        <v>30000</v>
      </c>
      <c r="M54" s="6">
        <f t="shared" si="18"/>
        <v>30000</v>
      </c>
      <c r="N54" s="6">
        <f t="shared" si="18"/>
        <v>30000</v>
      </c>
      <c r="O54" s="6">
        <f t="shared" si="18"/>
        <v>30000</v>
      </c>
      <c r="P54" s="6">
        <f t="shared" si="18"/>
        <v>30000</v>
      </c>
      <c r="Q54" s="6">
        <f t="shared" si="18"/>
        <v>30000</v>
      </c>
      <c r="R54" s="6">
        <f t="shared" si="18"/>
        <v>30000</v>
      </c>
      <c r="S54" s="6">
        <f t="shared" si="18"/>
        <v>15000</v>
      </c>
    </row>
    <row r="55" spans="2:19" s="25" customFormat="1" ht="13.5" x14ac:dyDescent="0.2">
      <c r="B55" s="7" t="s">
        <v>248</v>
      </c>
      <c r="C55" s="8" t="s">
        <v>486</v>
      </c>
      <c r="D55" s="8" t="s">
        <v>78</v>
      </c>
      <c r="E55" s="27" t="s">
        <v>477</v>
      </c>
      <c r="F55" s="16">
        <f>SUM([3]FINAL_UCPA_Moduly!$H$10:$I$10)</f>
        <v>737465.0625</v>
      </c>
      <c r="G55" s="7"/>
      <c r="H55" s="6">
        <f>F55</f>
        <v>737465.0625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2:19" s="25" customFormat="1" ht="27" x14ac:dyDescent="0.2">
      <c r="B56" s="7" t="s">
        <v>249</v>
      </c>
      <c r="C56" s="8" t="s">
        <v>512</v>
      </c>
      <c r="D56" s="8" t="s">
        <v>78</v>
      </c>
      <c r="E56" s="8" t="s">
        <v>503</v>
      </c>
      <c r="F56" s="16">
        <f>ROUND(12%*F55,0)</f>
        <v>88496</v>
      </c>
      <c r="G56" s="7"/>
      <c r="H56" s="6"/>
      <c r="I56" s="6">
        <f t="shared" ref="I56:R56" si="19">$F56</f>
        <v>88496</v>
      </c>
      <c r="J56" s="6">
        <f t="shared" si="19"/>
        <v>88496</v>
      </c>
      <c r="K56" s="6">
        <f t="shared" si="19"/>
        <v>88496</v>
      </c>
      <c r="L56" s="6">
        <f t="shared" si="19"/>
        <v>88496</v>
      </c>
      <c r="M56" s="6">
        <f t="shared" si="19"/>
        <v>88496</v>
      </c>
      <c r="N56" s="6">
        <f t="shared" si="19"/>
        <v>88496</v>
      </c>
      <c r="O56" s="6">
        <f t="shared" si="19"/>
        <v>88496</v>
      </c>
      <c r="P56" s="6">
        <f t="shared" si="19"/>
        <v>88496</v>
      </c>
      <c r="Q56" s="6">
        <f t="shared" si="19"/>
        <v>88496</v>
      </c>
      <c r="R56" s="6">
        <f t="shared" si="19"/>
        <v>88496</v>
      </c>
      <c r="S56" s="6"/>
    </row>
    <row r="57" spans="2:19" s="25" customFormat="1" ht="13.5" x14ac:dyDescent="0.2">
      <c r="B57" s="7" t="s">
        <v>250</v>
      </c>
      <c r="C57" s="8" t="s">
        <v>233</v>
      </c>
      <c r="D57" s="8" t="s">
        <v>258</v>
      </c>
      <c r="E57" s="8" t="s">
        <v>55</v>
      </c>
      <c r="F57" s="16">
        <f>2.5%*F48</f>
        <v>2.125</v>
      </c>
      <c r="G57" s="7" t="s">
        <v>267</v>
      </c>
      <c r="H57" s="6"/>
      <c r="J57" s="6">
        <f t="shared" ref="J57:R57" si="20">30% *$F57*I40</f>
        <v>16957.5</v>
      </c>
      <c r="K57" s="6">
        <f t="shared" si="20"/>
        <v>16064.999999999998</v>
      </c>
      <c r="L57" s="6">
        <f t="shared" si="20"/>
        <v>14279.999999999998</v>
      </c>
      <c r="M57" s="6">
        <f t="shared" si="20"/>
        <v>12495</v>
      </c>
      <c r="N57" s="6">
        <f t="shared" si="20"/>
        <v>10710</v>
      </c>
      <c r="O57" s="6">
        <f t="shared" si="20"/>
        <v>8925</v>
      </c>
      <c r="P57" s="6">
        <f t="shared" si="20"/>
        <v>8032.4999999999991</v>
      </c>
      <c r="Q57" s="6">
        <f t="shared" si="20"/>
        <v>7139.9999999999991</v>
      </c>
      <c r="R57" s="6">
        <f t="shared" si="20"/>
        <v>6693.7499999999991</v>
      </c>
      <c r="S57" s="6">
        <f>F57*R41</f>
        <v>595000</v>
      </c>
    </row>
    <row r="58" spans="2:19" s="25" customFormat="1" ht="13.5" x14ac:dyDescent="0.2">
      <c r="B58" s="7" t="s">
        <v>251</v>
      </c>
      <c r="C58" s="8" t="s">
        <v>234</v>
      </c>
      <c r="D58" s="8" t="s">
        <v>78</v>
      </c>
      <c r="E58" s="8" t="s">
        <v>55</v>
      </c>
      <c r="F58" s="16">
        <f>4%*F47</f>
        <v>30000</v>
      </c>
      <c r="G58" s="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>
        <f>F58</f>
        <v>30000</v>
      </c>
    </row>
    <row r="59" spans="2:19" s="25" customFormat="1" ht="13.5" x14ac:dyDescent="0.2">
      <c r="B59" s="7" t="s">
        <v>252</v>
      </c>
      <c r="C59" s="8" t="s">
        <v>235</v>
      </c>
      <c r="D59" s="8" t="s">
        <v>78</v>
      </c>
      <c r="E59" s="8" t="s">
        <v>55</v>
      </c>
      <c r="F59" s="16">
        <v>600000</v>
      </c>
      <c r="G59" s="7"/>
      <c r="H59" s="6">
        <f>F59</f>
        <v>600000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2:19" s="25" customFormat="1" ht="27" x14ac:dyDescent="0.2">
      <c r="B60" s="7" t="s">
        <v>253</v>
      </c>
      <c r="C60" s="8" t="s">
        <v>236</v>
      </c>
      <c r="D60" s="8" t="s">
        <v>13</v>
      </c>
      <c r="E60" s="8" t="s">
        <v>156</v>
      </c>
      <c r="F60" s="16">
        <f>80*12.5+180</f>
        <v>1180</v>
      </c>
      <c r="G60" s="7" t="s">
        <v>39</v>
      </c>
      <c r="H60" s="6">
        <f>$F60*H$38</f>
        <v>7080</v>
      </c>
      <c r="I60" s="6">
        <f t="shared" ref="I60:S62" si="21">$F60*I$38</f>
        <v>14160</v>
      </c>
      <c r="J60" s="6">
        <f t="shared" si="21"/>
        <v>14160</v>
      </c>
      <c r="K60" s="6">
        <f t="shared" si="21"/>
        <v>14160</v>
      </c>
      <c r="L60" s="6">
        <f t="shared" si="21"/>
        <v>14160</v>
      </c>
      <c r="M60" s="6">
        <f t="shared" si="21"/>
        <v>14160</v>
      </c>
      <c r="N60" s="6">
        <f t="shared" si="21"/>
        <v>14160</v>
      </c>
      <c r="O60" s="6">
        <f t="shared" si="21"/>
        <v>14160</v>
      </c>
      <c r="P60" s="6">
        <f t="shared" si="21"/>
        <v>14160</v>
      </c>
      <c r="Q60" s="6">
        <f t="shared" si="21"/>
        <v>14160</v>
      </c>
      <c r="R60" s="6">
        <f t="shared" si="21"/>
        <v>14160</v>
      </c>
      <c r="S60" s="6">
        <f t="shared" si="21"/>
        <v>7080</v>
      </c>
    </row>
    <row r="61" spans="2:19" s="25" customFormat="1" ht="27" x14ac:dyDescent="0.2">
      <c r="B61" s="7" t="s">
        <v>254</v>
      </c>
      <c r="C61" s="8" t="s">
        <v>485</v>
      </c>
      <c r="D61" s="8" t="s">
        <v>466</v>
      </c>
      <c r="E61" s="27" t="s">
        <v>482</v>
      </c>
      <c r="F61" s="16">
        <f>'[2]Palubné jednotky (alt.2)'!$G$31</f>
        <v>63821</v>
      </c>
      <c r="G61" s="7" t="s">
        <v>487</v>
      </c>
      <c r="H61" s="6">
        <f>$F61*H$38*H37</f>
        <v>398396.21039999998</v>
      </c>
      <c r="I61" s="6">
        <f>$F61*I$38*I37</f>
        <v>812728.26921599999</v>
      </c>
      <c r="J61" s="6">
        <f t="shared" ref="J61:S61" si="22">$F61*J$38*J37</f>
        <v>828982.83460031997</v>
      </c>
      <c r="K61" s="6">
        <f t="shared" si="22"/>
        <v>845562.49129232636</v>
      </c>
      <c r="L61" s="6">
        <f t="shared" si="22"/>
        <v>862473.741118173</v>
      </c>
      <c r="M61" s="6">
        <f t="shared" si="22"/>
        <v>879723.21594053623</v>
      </c>
      <c r="N61" s="6">
        <f t="shared" si="22"/>
        <v>897317.68025934708</v>
      </c>
      <c r="O61" s="6">
        <f t="shared" si="22"/>
        <v>915264.03386453399</v>
      </c>
      <c r="P61" s="6">
        <f t="shared" si="22"/>
        <v>933569.31454182474</v>
      </c>
      <c r="Q61" s="6">
        <f t="shared" si="22"/>
        <v>952240.70083266101</v>
      </c>
      <c r="R61" s="6">
        <f t="shared" si="22"/>
        <v>971285.51484931447</v>
      </c>
      <c r="S61" s="6">
        <f t="shared" si="22"/>
        <v>495355.61257315031</v>
      </c>
    </row>
    <row r="62" spans="2:19" s="25" customFormat="1" ht="27" x14ac:dyDescent="0.2">
      <c r="B62" s="7" t="s">
        <v>255</v>
      </c>
      <c r="C62" s="8" t="s">
        <v>237</v>
      </c>
      <c r="D62" s="8" t="s">
        <v>238</v>
      </c>
      <c r="E62" s="8" t="s">
        <v>158</v>
      </c>
      <c r="F62" s="16">
        <v>360</v>
      </c>
      <c r="G62" s="7" t="s">
        <v>39</v>
      </c>
      <c r="H62" s="6">
        <f>$F62*H$38</f>
        <v>2160</v>
      </c>
      <c r="I62" s="6">
        <f t="shared" si="21"/>
        <v>4320</v>
      </c>
      <c r="J62" s="6">
        <f t="shared" si="21"/>
        <v>4320</v>
      </c>
      <c r="K62" s="6">
        <f t="shared" si="21"/>
        <v>4320</v>
      </c>
      <c r="L62" s="6">
        <f t="shared" si="21"/>
        <v>4320</v>
      </c>
      <c r="M62" s="6">
        <f t="shared" si="21"/>
        <v>4320</v>
      </c>
      <c r="N62" s="6">
        <f t="shared" si="21"/>
        <v>4320</v>
      </c>
      <c r="O62" s="6">
        <f t="shared" si="21"/>
        <v>4320</v>
      </c>
      <c r="P62" s="6">
        <f t="shared" si="21"/>
        <v>4320</v>
      </c>
      <c r="Q62" s="6">
        <f t="shared" si="21"/>
        <v>4320</v>
      </c>
      <c r="R62" s="6">
        <f t="shared" si="21"/>
        <v>4320</v>
      </c>
      <c r="S62" s="6">
        <f t="shared" si="21"/>
        <v>2160</v>
      </c>
    </row>
    <row r="63" spans="2:19" s="25" customFormat="1" ht="13.5" x14ac:dyDescent="0.2">
      <c r="B63" s="7" t="s">
        <v>513</v>
      </c>
      <c r="C63" s="8" t="s">
        <v>239</v>
      </c>
      <c r="D63" s="8" t="s">
        <v>78</v>
      </c>
      <c r="E63" s="8" t="s">
        <v>55</v>
      </c>
      <c r="F63" s="16">
        <f>4%*F59</f>
        <v>24000</v>
      </c>
      <c r="G63" s="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>
        <f>F63</f>
        <v>24000</v>
      </c>
    </row>
    <row r="64" spans="2:19" s="33" customFormat="1" ht="13.5" x14ac:dyDescent="0.2">
      <c r="B64" s="31"/>
      <c r="C64" s="31"/>
      <c r="D64" s="31"/>
      <c r="E64" s="31"/>
      <c r="F64" s="31"/>
      <c r="G64" s="31"/>
      <c r="H64" s="32">
        <f t="shared" ref="H64:S64" si="23">SUM(H47:H63)</f>
        <v>38774445.312899999</v>
      </c>
      <c r="I64" s="32">
        <f t="shared" si="23"/>
        <v>4526862.110816</v>
      </c>
      <c r="J64" s="32">
        <f t="shared" si="23"/>
        <v>4446835.3330323203</v>
      </c>
      <c r="K64" s="32">
        <f t="shared" si="23"/>
        <v>3893588.4102260862</v>
      </c>
      <c r="L64" s="32">
        <f t="shared" si="23"/>
        <v>3662822.3584306082</v>
      </c>
      <c r="M64" s="32">
        <f t="shared" si="23"/>
        <v>3432600.68559922</v>
      </c>
      <c r="N64" s="32">
        <f t="shared" si="23"/>
        <v>3202934.2793112043</v>
      </c>
      <c r="O64" s="32">
        <f t="shared" si="23"/>
        <v>2752799.6393809812</v>
      </c>
      <c r="P64" s="32">
        <f t="shared" si="23"/>
        <v>2647691.1121686012</v>
      </c>
      <c r="Q64" s="32">
        <f t="shared" si="23"/>
        <v>2607110.2644119728</v>
      </c>
      <c r="R64" s="32">
        <f t="shared" si="23"/>
        <v>1670762.8997002125</v>
      </c>
      <c r="S64" s="32">
        <f t="shared" si="23"/>
        <v>1449459.5063471082</v>
      </c>
    </row>
    <row r="65" spans="1:19" ht="13.5" x14ac:dyDescent="0.2">
      <c r="B65" s="4"/>
      <c r="C65" s="5" t="s">
        <v>410</v>
      </c>
      <c r="D65" s="5" t="s">
        <v>411</v>
      </c>
      <c r="E65" s="5"/>
      <c r="F65" s="62">
        <v>0.04</v>
      </c>
      <c r="G65" s="4"/>
      <c r="H65" s="32">
        <f>H64/((1+$F65)^(H46-2020))</f>
        <v>35849154.320358723</v>
      </c>
      <c r="I65" s="32">
        <f t="shared" ref="I65:S65" si="24">I64/((1+$F65)^(I46-2020))</f>
        <v>4024363.9327207552</v>
      </c>
      <c r="J65" s="32">
        <f t="shared" si="24"/>
        <v>3801173.4794950932</v>
      </c>
      <c r="K65" s="32">
        <f t="shared" si="24"/>
        <v>3200245.8569288701</v>
      </c>
      <c r="L65" s="32">
        <f t="shared" si="24"/>
        <v>2894781.7150368597</v>
      </c>
      <c r="M65" s="32">
        <f t="shared" si="24"/>
        <v>2608494.4065964622</v>
      </c>
      <c r="N65" s="32">
        <f t="shared" si="24"/>
        <v>2340352.7051577852</v>
      </c>
      <c r="O65" s="32">
        <f t="shared" si="24"/>
        <v>1934080.5123352653</v>
      </c>
      <c r="P65" s="32">
        <f t="shared" si="24"/>
        <v>1788685.2454996353</v>
      </c>
      <c r="Q65" s="32">
        <f t="shared" si="24"/>
        <v>1693529.1142448869</v>
      </c>
      <c r="R65" s="32">
        <f t="shared" si="24"/>
        <v>1043553.577700587</v>
      </c>
      <c r="S65" s="32">
        <f t="shared" si="24"/>
        <v>870507.81841363595</v>
      </c>
    </row>
    <row r="68" spans="1:19" ht="18" thickBot="1" x14ac:dyDescent="0.25">
      <c r="B68" s="80" t="s">
        <v>264</v>
      </c>
      <c r="C68" s="80"/>
      <c r="D68" s="80"/>
      <c r="E68" s="80"/>
      <c r="F68" s="80"/>
      <c r="G68" s="80"/>
    </row>
    <row r="69" spans="1:19" ht="13.5" thickTop="1" x14ac:dyDescent="0.2"/>
    <row r="70" spans="1:19" ht="15.75" thickBot="1" x14ac:dyDescent="0.3">
      <c r="B70" s="22" t="s">
        <v>50</v>
      </c>
      <c r="C70" s="23"/>
    </row>
    <row r="72" spans="1:19" ht="13.5" x14ac:dyDescent="0.2">
      <c r="B72" s="13"/>
      <c r="C72" s="21" t="s">
        <v>48</v>
      </c>
      <c r="D72" s="13" t="s">
        <v>51</v>
      </c>
      <c r="E72" s="82" t="s">
        <v>53</v>
      </c>
      <c r="F72" s="82"/>
      <c r="G72" s="13" t="s">
        <v>35</v>
      </c>
      <c r="H72" s="13">
        <v>2022</v>
      </c>
      <c r="I72" s="13">
        <v>2023</v>
      </c>
      <c r="J72" s="13">
        <v>2024</v>
      </c>
      <c r="K72" s="13">
        <v>2025</v>
      </c>
      <c r="L72" s="13">
        <v>2026</v>
      </c>
      <c r="M72" s="13">
        <v>2027</v>
      </c>
      <c r="N72" s="13">
        <v>2028</v>
      </c>
      <c r="O72" s="13">
        <v>2029</v>
      </c>
      <c r="P72" s="13">
        <v>2030</v>
      </c>
      <c r="Q72" s="13">
        <v>2031</v>
      </c>
      <c r="R72" s="13">
        <v>2032</v>
      </c>
      <c r="S72" s="13">
        <v>2033</v>
      </c>
    </row>
    <row r="73" spans="1:19" s="10" customFormat="1" ht="12" x14ac:dyDescent="0.15">
      <c r="B73" s="11"/>
      <c r="C73" s="11"/>
      <c r="D73" s="11"/>
      <c r="E73" s="12"/>
      <c r="F73" s="12"/>
      <c r="G73" s="12">
        <v>1</v>
      </c>
      <c r="H73" s="12">
        <v>2</v>
      </c>
      <c r="I73" s="12">
        <v>3</v>
      </c>
      <c r="J73" s="12">
        <v>4</v>
      </c>
      <c r="K73" s="12">
        <v>5</v>
      </c>
      <c r="L73" s="12">
        <v>6</v>
      </c>
      <c r="M73" s="12">
        <v>7</v>
      </c>
      <c r="N73" s="12">
        <v>8</v>
      </c>
      <c r="O73" s="12">
        <v>9</v>
      </c>
      <c r="P73" s="12">
        <v>10</v>
      </c>
      <c r="Q73" s="12">
        <v>11</v>
      </c>
      <c r="R73" s="12">
        <v>12</v>
      </c>
      <c r="S73" s="12">
        <v>13</v>
      </c>
    </row>
    <row r="74" spans="1:19" ht="16.5" customHeight="1" x14ac:dyDescent="0.2">
      <c r="B74" s="7"/>
      <c r="C74" s="8" t="s">
        <v>36</v>
      </c>
      <c r="D74" s="27" t="s">
        <v>216</v>
      </c>
      <c r="E74" s="8"/>
      <c r="F74" s="8"/>
      <c r="G74" s="7" t="s">
        <v>37</v>
      </c>
      <c r="H74" s="6"/>
      <c r="I74" s="6">
        <f>[4]GNSS!I41</f>
        <v>12</v>
      </c>
      <c r="J74" s="6">
        <f>[4]GNSS!J41</f>
        <v>12</v>
      </c>
      <c r="K74" s="6">
        <f>[4]GNSS!K41</f>
        <v>12</v>
      </c>
      <c r="L74" s="6">
        <f>[4]GNSS!L41</f>
        <v>12</v>
      </c>
      <c r="M74" s="6">
        <f>[4]GNSS!M41</f>
        <v>12</v>
      </c>
      <c r="N74" s="6">
        <f>[4]GNSS!N41</f>
        <v>12</v>
      </c>
      <c r="O74" s="6">
        <f>[4]GNSS!O41</f>
        <v>12</v>
      </c>
      <c r="P74" s="6">
        <f>[4]GNSS!P41</f>
        <v>12</v>
      </c>
      <c r="Q74" s="6">
        <f>[4]GNSS!Q41</f>
        <v>12</v>
      </c>
      <c r="R74" s="6">
        <f>[4]GNSS!R41</f>
        <v>12</v>
      </c>
      <c r="S74" s="6">
        <f>[4]GNSS!S41</f>
        <v>0</v>
      </c>
    </row>
    <row r="75" spans="1:19" ht="13.5" x14ac:dyDescent="0.2">
      <c r="B75" s="7"/>
      <c r="C75" s="8" t="s">
        <v>467</v>
      </c>
      <c r="D75" s="8"/>
      <c r="E75" s="73">
        <v>0.02</v>
      </c>
      <c r="F75" s="8"/>
      <c r="G75" s="7" t="s">
        <v>489</v>
      </c>
      <c r="H75" s="72">
        <f>(1+$E75)^(H$35-2020)</f>
        <v>1.0404</v>
      </c>
      <c r="I75" s="72">
        <f t="shared" ref="I75:S75" si="25">(1+$E75)^(I$35-2020)</f>
        <v>1.0612079999999999</v>
      </c>
      <c r="J75" s="72">
        <f t="shared" si="25"/>
        <v>1.08243216</v>
      </c>
      <c r="K75" s="72">
        <f t="shared" si="25"/>
        <v>1.1040808032</v>
      </c>
      <c r="L75" s="72">
        <f t="shared" si="25"/>
        <v>1.1261624192640001</v>
      </c>
      <c r="M75" s="72">
        <f t="shared" si="25"/>
        <v>1.1486856676492798</v>
      </c>
      <c r="N75" s="72">
        <f t="shared" si="25"/>
        <v>1.1716593810022655</v>
      </c>
      <c r="O75" s="72">
        <f t="shared" si="25"/>
        <v>1.1950925686223108</v>
      </c>
      <c r="P75" s="72">
        <f t="shared" si="25"/>
        <v>1.2189944199947571</v>
      </c>
      <c r="Q75" s="72">
        <f t="shared" si="25"/>
        <v>1.243374308394652</v>
      </c>
      <c r="R75" s="72">
        <f t="shared" si="25"/>
        <v>1.2682417945625453</v>
      </c>
      <c r="S75" s="72">
        <f t="shared" si="25"/>
        <v>1.2936066304537961</v>
      </c>
    </row>
    <row r="76" spans="1:19" ht="13.5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</row>
    <row r="77" spans="1:19" ht="15.75" thickBot="1" x14ac:dyDescent="0.3">
      <c r="B77" s="22" t="s">
        <v>201</v>
      </c>
      <c r="C77" s="23"/>
    </row>
    <row r="78" spans="1:19" x14ac:dyDescent="0.2">
      <c r="B78" s="79" t="s">
        <v>455</v>
      </c>
      <c r="C78" s="79"/>
      <c r="D78" s="79"/>
      <c r="H78" s="79" t="s">
        <v>456</v>
      </c>
      <c r="I78" s="79"/>
      <c r="J78" s="79"/>
      <c r="K78" s="79"/>
    </row>
    <row r="79" spans="1:19" ht="40.5" x14ac:dyDescent="0.2">
      <c r="B79" s="4" t="s">
        <v>0</v>
      </c>
      <c r="C79" s="5" t="s">
        <v>1</v>
      </c>
      <c r="D79" s="5" t="s">
        <v>2</v>
      </c>
      <c r="E79" s="5" t="s">
        <v>3</v>
      </c>
      <c r="F79" s="5" t="s">
        <v>33</v>
      </c>
      <c r="G79" s="4" t="s">
        <v>35</v>
      </c>
      <c r="H79" s="4">
        <v>2022</v>
      </c>
      <c r="I79" s="4">
        <v>2023</v>
      </c>
      <c r="J79" s="4">
        <v>2024</v>
      </c>
      <c r="K79" s="4">
        <v>2025</v>
      </c>
      <c r="L79" s="4">
        <v>2026</v>
      </c>
      <c r="M79" s="4">
        <v>2027</v>
      </c>
      <c r="N79" s="4">
        <v>2028</v>
      </c>
      <c r="O79" s="4">
        <v>2029</v>
      </c>
      <c r="P79" s="4">
        <v>2030</v>
      </c>
      <c r="Q79" s="4">
        <v>2031</v>
      </c>
      <c r="R79" s="4">
        <v>2032</v>
      </c>
      <c r="S79" s="4">
        <v>2033</v>
      </c>
    </row>
    <row r="80" spans="1:19" ht="13.5" x14ac:dyDescent="0.2">
      <c r="B80" s="7" t="s">
        <v>441</v>
      </c>
      <c r="C80" s="8" t="s">
        <v>19</v>
      </c>
      <c r="D80" s="8" t="s">
        <v>466</v>
      </c>
      <c r="E80" s="27" t="s">
        <v>488</v>
      </c>
      <c r="F80" s="16">
        <f>'[2]Palubné jednotky (alt.3)'!$G$10</f>
        <v>8450</v>
      </c>
      <c r="G80" s="7" t="s">
        <v>37</v>
      </c>
      <c r="H80" s="6">
        <f>$F80*H75*H74</f>
        <v>0</v>
      </c>
      <c r="I80" s="6">
        <f t="shared" ref="I80:S80" si="26">$F80*I75*I74</f>
        <v>107606.49119999999</v>
      </c>
      <c r="J80" s="6">
        <f t="shared" si="26"/>
        <v>109758.62102399999</v>
      </c>
      <c r="K80" s="6">
        <f t="shared" si="26"/>
        <v>111953.79344448</v>
      </c>
      <c r="L80" s="6">
        <f t="shared" si="26"/>
        <v>114192.86931336959</v>
      </c>
      <c r="M80" s="6">
        <f t="shared" si="26"/>
        <v>116476.72669963699</v>
      </c>
      <c r="N80" s="6">
        <f t="shared" si="26"/>
        <v>118806.26123362972</v>
      </c>
      <c r="O80" s="6">
        <f t="shared" si="26"/>
        <v>121182.38645830231</v>
      </c>
      <c r="P80" s="6">
        <f t="shared" si="26"/>
        <v>123606.03418746837</v>
      </c>
      <c r="Q80" s="6">
        <f t="shared" si="26"/>
        <v>126078.1548712177</v>
      </c>
      <c r="R80" s="6">
        <f t="shared" si="26"/>
        <v>128599.7179686421</v>
      </c>
      <c r="S80" s="6">
        <f t="shared" si="26"/>
        <v>0</v>
      </c>
    </row>
    <row r="81" spans="2:19" ht="27.75" customHeight="1" x14ac:dyDescent="0.2">
      <c r="B81" s="7" t="s">
        <v>442</v>
      </c>
      <c r="C81" s="8" t="s">
        <v>21</v>
      </c>
      <c r="D81" s="8" t="s">
        <v>13</v>
      </c>
      <c r="E81" s="8" t="s">
        <v>219</v>
      </c>
      <c r="F81" s="16">
        <v>0</v>
      </c>
      <c r="G81" s="7" t="s">
        <v>37</v>
      </c>
      <c r="H81" s="6">
        <f>$F81*H$8</f>
        <v>0</v>
      </c>
      <c r="I81" s="6">
        <f t="shared" ref="I81:S81" si="27">$F81*I$8</f>
        <v>0</v>
      </c>
      <c r="J81" s="6">
        <f t="shared" si="27"/>
        <v>0</v>
      </c>
      <c r="K81" s="6">
        <f t="shared" si="27"/>
        <v>0</v>
      </c>
      <c r="L81" s="6">
        <f t="shared" si="27"/>
        <v>0</v>
      </c>
      <c r="M81" s="6">
        <f t="shared" si="27"/>
        <v>0</v>
      </c>
      <c r="N81" s="6">
        <f t="shared" si="27"/>
        <v>0</v>
      </c>
      <c r="O81" s="6">
        <f t="shared" si="27"/>
        <v>0</v>
      </c>
      <c r="P81" s="6">
        <f t="shared" si="27"/>
        <v>0</v>
      </c>
      <c r="Q81" s="6">
        <f t="shared" si="27"/>
        <v>0</v>
      </c>
      <c r="R81" s="6">
        <f t="shared" si="27"/>
        <v>0</v>
      </c>
      <c r="S81" s="6">
        <f t="shared" si="27"/>
        <v>0</v>
      </c>
    </row>
    <row r="82" spans="2:19" ht="13.5" x14ac:dyDescent="0.2">
      <c r="B82" s="4"/>
      <c r="C82" s="5" t="s">
        <v>58</v>
      </c>
      <c r="D82" s="5"/>
      <c r="E82" s="5"/>
      <c r="F82" s="5"/>
      <c r="G82" s="4"/>
      <c r="H82" s="24">
        <f t="shared" ref="H82:S82" si="28">SUM(H80:H81)</f>
        <v>0</v>
      </c>
      <c r="I82" s="24">
        <f t="shared" si="28"/>
        <v>107606.49119999999</v>
      </c>
      <c r="J82" s="24">
        <f t="shared" si="28"/>
        <v>109758.62102399999</v>
      </c>
      <c r="K82" s="24">
        <f t="shared" si="28"/>
        <v>111953.79344448</v>
      </c>
      <c r="L82" s="24">
        <f t="shared" si="28"/>
        <v>114192.86931336959</v>
      </c>
      <c r="M82" s="24">
        <f t="shared" si="28"/>
        <v>116476.72669963699</v>
      </c>
      <c r="N82" s="24">
        <f t="shared" si="28"/>
        <v>118806.26123362972</v>
      </c>
      <c r="O82" s="24">
        <f t="shared" si="28"/>
        <v>121182.38645830231</v>
      </c>
      <c r="P82" s="24">
        <f t="shared" si="28"/>
        <v>123606.03418746837</v>
      </c>
      <c r="Q82" s="24">
        <f t="shared" si="28"/>
        <v>126078.1548712177</v>
      </c>
      <c r="R82" s="24">
        <f t="shared" si="28"/>
        <v>128599.7179686421</v>
      </c>
      <c r="S82" s="24">
        <f t="shared" si="28"/>
        <v>0</v>
      </c>
    </row>
    <row r="83" spans="2:19" ht="13.5" x14ac:dyDescent="0.2">
      <c r="B83" s="4"/>
      <c r="C83" s="5" t="s">
        <v>410</v>
      </c>
      <c r="D83" s="5" t="s">
        <v>411</v>
      </c>
      <c r="E83" s="5"/>
      <c r="F83" s="62">
        <v>0.04</v>
      </c>
      <c r="G83" s="4"/>
      <c r="H83" s="32">
        <f>H82/((1+$F83)^(H72-2020))</f>
        <v>0</v>
      </c>
      <c r="I83" s="32">
        <f t="shared" ref="I83:S83" si="29">I82/((1+$F83)^(I72-2020))</f>
        <v>95661.778846153829</v>
      </c>
      <c r="J83" s="32">
        <f t="shared" si="29"/>
        <v>93822.129252958563</v>
      </c>
      <c r="K83" s="32">
        <f t="shared" si="29"/>
        <v>92017.857536555515</v>
      </c>
      <c r="L83" s="32">
        <f t="shared" si="29"/>
        <v>90248.283353160194</v>
      </c>
      <c r="M83" s="32">
        <f t="shared" si="29"/>
        <v>88512.739442522507</v>
      </c>
      <c r="N83" s="32">
        <f t="shared" si="29"/>
        <v>86810.571376320135</v>
      </c>
      <c r="O83" s="32">
        <f t="shared" si="29"/>
        <v>85141.137311390892</v>
      </c>
      <c r="P83" s="32">
        <f t="shared" si="29"/>
        <v>83503.807747710307</v>
      </c>
      <c r="Q83" s="32">
        <f t="shared" si="29"/>
        <v>81897.96529102356</v>
      </c>
      <c r="R83" s="32">
        <f t="shared" si="29"/>
        <v>80323.004420042344</v>
      </c>
      <c r="S83" s="32">
        <f t="shared" si="29"/>
        <v>0</v>
      </c>
    </row>
    <row r="89" spans="2:19" ht="18" thickBot="1" x14ac:dyDescent="0.25">
      <c r="B89" s="80" t="s">
        <v>268</v>
      </c>
      <c r="C89" s="80"/>
      <c r="D89" s="80"/>
      <c r="E89" s="80"/>
      <c r="F89" s="80"/>
      <c r="G89" s="80"/>
    </row>
    <row r="90" spans="2:19" ht="13.5" thickTop="1" x14ac:dyDescent="0.2"/>
    <row r="91" spans="2:19" ht="15.75" thickBot="1" x14ac:dyDescent="0.3">
      <c r="B91" s="81" t="s">
        <v>269</v>
      </c>
      <c r="C91" s="81"/>
      <c r="D91" s="81"/>
      <c r="E91" s="81"/>
      <c r="F91" s="81"/>
    </row>
    <row r="92" spans="2:19" x14ac:dyDescent="0.2">
      <c r="B92" s="83" t="s">
        <v>405</v>
      </c>
      <c r="C92" s="83"/>
      <c r="D92" s="83"/>
    </row>
    <row r="93" spans="2:19" ht="54" x14ac:dyDescent="0.2">
      <c r="B93" s="3"/>
      <c r="C93" s="3" t="s">
        <v>409</v>
      </c>
      <c r="D93" s="3" t="s">
        <v>413</v>
      </c>
      <c r="E93" s="3" t="s">
        <v>270</v>
      </c>
      <c r="F93" s="3" t="s">
        <v>414</v>
      </c>
      <c r="G93" s="3" t="s">
        <v>415</v>
      </c>
    </row>
    <row r="94" spans="2:19" ht="27" x14ac:dyDescent="0.25">
      <c r="B94" s="35"/>
      <c r="C94" s="38" t="s">
        <v>276</v>
      </c>
      <c r="D94" s="36">
        <f>SUM(H23:S23)</f>
        <v>44042006.120387994</v>
      </c>
      <c r="E94" s="37">
        <f>D94/D$94</f>
        <v>1</v>
      </c>
      <c r="F94" s="36">
        <f>H23</f>
        <v>2043615.144230769</v>
      </c>
      <c r="G94" s="36">
        <f>D94-F94</f>
        <v>41998390.976157226</v>
      </c>
    </row>
    <row r="95" spans="2:19" ht="27" x14ac:dyDescent="0.25">
      <c r="B95" s="35"/>
      <c r="C95" s="38" t="s">
        <v>277</v>
      </c>
      <c r="D95" s="36">
        <f>SUM(H65:S65)</f>
        <v>62048922.684488557</v>
      </c>
      <c r="E95" s="37">
        <f t="shared" ref="E95:E96" si="30">D95/D$94</f>
        <v>1.4088577735282766</v>
      </c>
      <c r="F95" s="36">
        <f>H65</f>
        <v>35849154.320358723</v>
      </c>
      <c r="G95" s="36">
        <f t="shared" ref="G95:G96" si="31">D95-F95</f>
        <v>26199768.364129834</v>
      </c>
    </row>
    <row r="96" spans="2:19" ht="27" x14ac:dyDescent="0.25">
      <c r="B96" s="35"/>
      <c r="C96" s="38" t="s">
        <v>278</v>
      </c>
      <c r="D96" s="36">
        <f>SUM(H83:S83)</f>
        <v>877939.2745778379</v>
      </c>
      <c r="E96" s="37">
        <f t="shared" si="30"/>
        <v>1.9934134520984522E-2</v>
      </c>
      <c r="F96" s="36">
        <f>H83</f>
        <v>0</v>
      </c>
      <c r="G96" s="36">
        <f t="shared" si="31"/>
        <v>877939.2745778379</v>
      </c>
    </row>
  </sheetData>
  <mergeCells count="14">
    <mergeCell ref="B2:G2"/>
    <mergeCell ref="E6:F6"/>
    <mergeCell ref="B31:G31"/>
    <mergeCell ref="B68:G68"/>
    <mergeCell ref="B17:D17"/>
    <mergeCell ref="B92:D92"/>
    <mergeCell ref="H17:K17"/>
    <mergeCell ref="B45:D45"/>
    <mergeCell ref="H45:K45"/>
    <mergeCell ref="B78:D78"/>
    <mergeCell ref="H78:K78"/>
    <mergeCell ref="E72:F72"/>
    <mergeCell ref="B89:G89"/>
    <mergeCell ref="B91:F9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2"/>
  <sheetViews>
    <sheetView topLeftCell="A39" zoomScaleNormal="100" workbookViewId="0">
      <selection activeCell="C48" sqref="C48"/>
    </sheetView>
  </sheetViews>
  <sheetFormatPr defaultRowHeight="12.75" x14ac:dyDescent="0.2"/>
  <cols>
    <col min="1" max="1" width="9.140625" customWidth="1"/>
    <col min="2" max="2" width="9.5703125" style="2" customWidth="1"/>
    <col min="3" max="3" width="43.140625" customWidth="1"/>
    <col min="4" max="4" width="22.140625" customWidth="1"/>
    <col min="5" max="5" width="21" customWidth="1"/>
    <col min="6" max="6" width="10.7109375" customWidth="1"/>
    <col min="7" max="7" width="8.5703125" style="15" customWidth="1"/>
    <col min="9" max="9" width="9.7109375" bestFit="1" customWidth="1"/>
  </cols>
  <sheetData>
    <row r="2" spans="2:19" ht="20.25" thickBot="1" x14ac:dyDescent="0.35">
      <c r="B2" s="80" t="s">
        <v>295</v>
      </c>
      <c r="C2" s="80"/>
      <c r="D2" s="80"/>
      <c r="E2" s="80"/>
      <c r="F2" s="80"/>
      <c r="G2" s="80"/>
      <c r="N2" s="60" t="s">
        <v>499</v>
      </c>
      <c r="O2" s="60"/>
      <c r="P2" s="60"/>
      <c r="Q2" s="60"/>
      <c r="R2" s="60"/>
      <c r="S2" s="60"/>
    </row>
    <row r="3" spans="2:19" ht="13.5" thickTop="1" x14ac:dyDescent="0.2"/>
    <row r="4" spans="2:19" ht="15.75" thickBot="1" x14ac:dyDescent="0.3">
      <c r="B4" s="22" t="s">
        <v>50</v>
      </c>
      <c r="C4" s="23"/>
    </row>
    <row r="6" spans="2:19" ht="13.5" x14ac:dyDescent="0.2">
      <c r="B6" s="13"/>
      <c r="C6" s="21" t="s">
        <v>48</v>
      </c>
      <c r="D6" s="13" t="s">
        <v>51</v>
      </c>
      <c r="E6" s="82" t="s">
        <v>53</v>
      </c>
      <c r="F6" s="82"/>
      <c r="G6" s="13" t="s">
        <v>35</v>
      </c>
      <c r="H6" s="13">
        <v>2022</v>
      </c>
      <c r="I6" s="13">
        <v>2023</v>
      </c>
      <c r="J6" s="13">
        <v>2024</v>
      </c>
      <c r="K6" s="13">
        <v>2025</v>
      </c>
      <c r="L6" s="13">
        <v>2026</v>
      </c>
      <c r="M6" s="13">
        <v>2027</v>
      </c>
      <c r="N6" s="13">
        <v>2028</v>
      </c>
      <c r="O6" s="13">
        <v>2029</v>
      </c>
      <c r="P6" s="13">
        <v>2030</v>
      </c>
      <c r="Q6" s="13">
        <v>2031</v>
      </c>
      <c r="R6" s="13">
        <v>2032</v>
      </c>
      <c r="S6" s="13">
        <v>2033</v>
      </c>
    </row>
    <row r="7" spans="2:19" x14ac:dyDescent="0.2">
      <c r="B7" s="11"/>
      <c r="C7" s="11"/>
      <c r="D7" s="11"/>
      <c r="E7" s="12"/>
      <c r="F7" s="12"/>
      <c r="G7" s="12">
        <v>1</v>
      </c>
      <c r="H7" s="12">
        <v>2</v>
      </c>
      <c r="I7" s="12">
        <v>3</v>
      </c>
      <c r="J7" s="12">
        <v>4</v>
      </c>
      <c r="K7" s="12">
        <v>5</v>
      </c>
      <c r="L7" s="12">
        <v>6</v>
      </c>
      <c r="M7" s="12">
        <v>7</v>
      </c>
      <c r="N7" s="12">
        <v>8</v>
      </c>
      <c r="O7" s="12">
        <v>9</v>
      </c>
      <c r="P7" s="12">
        <v>10</v>
      </c>
      <c r="Q7" s="12">
        <v>11</v>
      </c>
      <c r="R7" s="12">
        <v>12</v>
      </c>
      <c r="S7" s="12">
        <v>13</v>
      </c>
    </row>
    <row r="8" spans="2:19" ht="13.5" x14ac:dyDescent="0.2">
      <c r="B8" s="7"/>
      <c r="C8" s="8" t="s">
        <v>36</v>
      </c>
      <c r="D8" s="8"/>
      <c r="E8" s="18"/>
      <c r="F8" s="8"/>
      <c r="G8" s="7" t="s">
        <v>337</v>
      </c>
      <c r="H8" s="6">
        <v>6</v>
      </c>
      <c r="I8" s="6">
        <v>12</v>
      </c>
      <c r="J8" s="6">
        <v>12</v>
      </c>
      <c r="K8" s="6">
        <v>12</v>
      </c>
      <c r="L8" s="6">
        <v>12</v>
      </c>
      <c r="M8" s="6">
        <v>12</v>
      </c>
      <c r="N8" s="6">
        <v>12</v>
      </c>
      <c r="O8" s="6">
        <v>12</v>
      </c>
      <c r="P8" s="6">
        <v>12</v>
      </c>
      <c r="Q8" s="6">
        <v>12</v>
      </c>
      <c r="R8" s="6">
        <v>12</v>
      </c>
      <c r="S8" s="1">
        <v>6</v>
      </c>
    </row>
    <row r="9" spans="2:19" ht="13.5" x14ac:dyDescent="0.2">
      <c r="B9" s="7"/>
      <c r="C9" s="8" t="s">
        <v>336</v>
      </c>
      <c r="D9" s="8"/>
      <c r="E9" s="19"/>
      <c r="F9" s="20"/>
      <c r="G9" s="7" t="s">
        <v>338</v>
      </c>
      <c r="H9" s="6"/>
      <c r="I9" s="6">
        <v>2</v>
      </c>
      <c r="J9" s="6">
        <v>3</v>
      </c>
      <c r="K9" s="6">
        <v>4</v>
      </c>
      <c r="L9" s="6">
        <v>5</v>
      </c>
      <c r="M9" s="6">
        <v>6</v>
      </c>
      <c r="N9" s="6">
        <v>6</v>
      </c>
      <c r="O9" s="6">
        <v>6</v>
      </c>
      <c r="P9" s="6">
        <v>6</v>
      </c>
      <c r="Q9" s="6">
        <v>6</v>
      </c>
      <c r="R9" s="6">
        <v>6</v>
      </c>
      <c r="S9" s="1"/>
    </row>
    <row r="10" spans="2:19" ht="13.5" x14ac:dyDescent="0.2">
      <c r="B10" s="7"/>
      <c r="C10" s="8" t="s">
        <v>41</v>
      </c>
      <c r="D10" s="8"/>
      <c r="E10" s="19"/>
      <c r="F10" s="20"/>
      <c r="G10" s="7" t="s">
        <v>341</v>
      </c>
      <c r="H10" s="6">
        <v>12</v>
      </c>
      <c r="I10" s="6">
        <v>6</v>
      </c>
      <c r="J10" s="6"/>
      <c r="K10" s="6"/>
      <c r="L10" s="6"/>
      <c r="M10" s="6"/>
      <c r="N10" s="6"/>
      <c r="O10" s="6"/>
      <c r="P10" s="6"/>
      <c r="Q10" s="6"/>
      <c r="R10" s="6">
        <v>6</v>
      </c>
      <c r="S10" s="1">
        <v>6</v>
      </c>
    </row>
    <row r="11" spans="2:19" ht="13.5" x14ac:dyDescent="0.2">
      <c r="B11" s="7"/>
      <c r="C11" s="8" t="s">
        <v>342</v>
      </c>
      <c r="D11" s="27" t="s">
        <v>216</v>
      </c>
      <c r="E11" s="19"/>
      <c r="F11" s="20"/>
      <c r="G11" s="7" t="s">
        <v>343</v>
      </c>
      <c r="H11" s="6">
        <f>[4]GNSS!H$19</f>
        <v>1262</v>
      </c>
      <c r="I11" s="6">
        <f>[4]GNSS!I$19</f>
        <v>1277</v>
      </c>
      <c r="J11" s="6">
        <f>[4]GNSS!J$19</f>
        <v>1281</v>
      </c>
      <c r="K11" s="6">
        <f>[4]GNSS!K$19</f>
        <v>1290</v>
      </c>
      <c r="L11" s="6">
        <f>[4]GNSS!L$19</f>
        <v>1317</v>
      </c>
      <c r="M11" s="6">
        <f>[4]GNSS!M$19</f>
        <v>1330</v>
      </c>
      <c r="N11" s="6">
        <f>[4]GNSS!N$19</f>
        <v>1345</v>
      </c>
      <c r="O11" s="6">
        <f>[4]GNSS!O$19</f>
        <v>1391</v>
      </c>
      <c r="P11" s="6">
        <f>[4]GNSS!P$19</f>
        <v>1410</v>
      </c>
      <c r="Q11" s="6">
        <f>[4]GNSS!Q$19</f>
        <v>1433</v>
      </c>
      <c r="R11" s="6">
        <f>[4]GNSS!R$19</f>
        <v>1440</v>
      </c>
      <c r="S11" s="6">
        <f>[4]GNSS!S$19</f>
        <v>0</v>
      </c>
    </row>
    <row r="12" spans="2:19" ht="13.5" x14ac:dyDescent="0.2">
      <c r="B12" s="7"/>
      <c r="C12" s="8" t="s">
        <v>467</v>
      </c>
      <c r="D12" s="8"/>
      <c r="E12" s="73">
        <v>0.02</v>
      </c>
      <c r="F12" s="8"/>
      <c r="G12" s="7" t="s">
        <v>475</v>
      </c>
      <c r="H12" s="72">
        <f>(1+$E12)^(H$6-2020)</f>
        <v>1.0404</v>
      </c>
      <c r="I12" s="72">
        <f t="shared" ref="I12:S12" si="0">(1+$E12)^(I$6-2020)</f>
        <v>1.0612079999999999</v>
      </c>
      <c r="J12" s="72">
        <f t="shared" si="0"/>
        <v>1.08243216</v>
      </c>
      <c r="K12" s="72">
        <f t="shared" si="0"/>
        <v>1.1040808032</v>
      </c>
      <c r="L12" s="72">
        <f t="shared" si="0"/>
        <v>1.1261624192640001</v>
      </c>
      <c r="M12" s="72">
        <f t="shared" si="0"/>
        <v>1.1486856676492798</v>
      </c>
      <c r="N12" s="72">
        <f t="shared" si="0"/>
        <v>1.1716593810022655</v>
      </c>
      <c r="O12" s="72">
        <f t="shared" si="0"/>
        <v>1.1950925686223108</v>
      </c>
      <c r="P12" s="72">
        <f t="shared" si="0"/>
        <v>1.2189944199947571</v>
      </c>
      <c r="Q12" s="72">
        <f t="shared" si="0"/>
        <v>1.243374308394652</v>
      </c>
      <c r="R12" s="72">
        <f t="shared" si="0"/>
        <v>1.2682417945625453</v>
      </c>
      <c r="S12" s="72">
        <f t="shared" si="0"/>
        <v>1.2936066304537961</v>
      </c>
    </row>
    <row r="13" spans="2:19" ht="15.75" thickBot="1" x14ac:dyDescent="0.3">
      <c r="B13" s="22" t="s">
        <v>201</v>
      </c>
      <c r="C13" s="23"/>
    </row>
    <row r="14" spans="2:19" x14ac:dyDescent="0.2">
      <c r="B14" s="79" t="s">
        <v>457</v>
      </c>
      <c r="C14" s="79"/>
      <c r="D14" s="79"/>
      <c r="H14" s="85" t="s">
        <v>458</v>
      </c>
      <c r="I14" s="85"/>
      <c r="J14" s="85"/>
      <c r="K14" s="85"/>
    </row>
    <row r="15" spans="2:19" ht="40.5" x14ac:dyDescent="0.2">
      <c r="B15" s="4" t="s">
        <v>0</v>
      </c>
      <c r="C15" s="5" t="s">
        <v>1</v>
      </c>
      <c r="D15" s="5" t="s">
        <v>2</v>
      </c>
      <c r="E15" s="5" t="s">
        <v>3</v>
      </c>
      <c r="F15" s="5" t="s">
        <v>33</v>
      </c>
      <c r="G15" s="4" t="s">
        <v>35</v>
      </c>
      <c r="H15" s="4">
        <v>2022</v>
      </c>
      <c r="I15" s="4">
        <v>2023</v>
      </c>
      <c r="J15" s="4">
        <v>2024</v>
      </c>
      <c r="K15" s="4">
        <v>2025</v>
      </c>
      <c r="L15" s="4">
        <v>2026</v>
      </c>
      <c r="M15" s="4">
        <v>2027</v>
      </c>
      <c r="N15" s="4">
        <v>2028</v>
      </c>
      <c r="O15" s="4">
        <v>2029</v>
      </c>
      <c r="P15" s="4">
        <v>2030</v>
      </c>
      <c r="Q15" s="4">
        <v>2031</v>
      </c>
      <c r="R15" s="4">
        <v>2032</v>
      </c>
      <c r="S15" s="4">
        <v>2033</v>
      </c>
    </row>
    <row r="16" spans="2:19" ht="13.5" x14ac:dyDescent="0.2">
      <c r="B16" s="7" t="s">
        <v>287</v>
      </c>
      <c r="C16" s="8" t="s">
        <v>279</v>
      </c>
      <c r="D16" s="8" t="s">
        <v>78</v>
      </c>
      <c r="E16" s="27" t="s">
        <v>477</v>
      </c>
      <c r="F16" s="16">
        <f>SUM([3]FINAL_UCPA_Moduly!$B$10:$G$10)</f>
        <v>3295740.0562499994</v>
      </c>
      <c r="G16" s="7"/>
      <c r="H16" s="6">
        <f>F16</f>
        <v>3295740.0562499994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2:19" ht="27" x14ac:dyDescent="0.2">
      <c r="B17" s="7" t="s">
        <v>287</v>
      </c>
      <c r="C17" s="8" t="s">
        <v>349</v>
      </c>
      <c r="D17" s="8" t="s">
        <v>78</v>
      </c>
      <c r="E17" s="27" t="s">
        <v>216</v>
      </c>
      <c r="F17" s="16">
        <f>[4]GNSS!$D$24</f>
        <v>3450</v>
      </c>
      <c r="G17" s="7" t="s">
        <v>343</v>
      </c>
      <c r="H17" s="6">
        <f>[4]GNSS!H$28</f>
        <v>4353900</v>
      </c>
      <c r="I17" s="6">
        <f>[4]GNSS!I$28</f>
        <v>113850</v>
      </c>
      <c r="J17" s="6">
        <f>[4]GNSS!J$28</f>
        <v>27600</v>
      </c>
      <c r="K17" s="6">
        <f>[4]GNSS!K$28</f>
        <v>86250</v>
      </c>
      <c r="L17" s="6">
        <f>[4]GNSS!L$28</f>
        <v>93150</v>
      </c>
      <c r="M17" s="6">
        <f>[4]GNSS!M$28</f>
        <v>134550</v>
      </c>
      <c r="N17" s="6">
        <f>[4]GNSS!N$28</f>
        <v>93150</v>
      </c>
      <c r="O17" s="6">
        <f>[4]GNSS!O$28</f>
        <v>400200</v>
      </c>
      <c r="P17" s="6">
        <f>[4]GNSS!P$28</f>
        <v>120750</v>
      </c>
      <c r="Q17" s="6">
        <f>[4]GNSS!Q$28</f>
        <v>300150</v>
      </c>
      <c r="R17" s="6">
        <f>[4]GNSS!R$28</f>
        <v>31050</v>
      </c>
      <c r="S17" s="6">
        <f>[4]GNSS!S$28</f>
        <v>0</v>
      </c>
    </row>
    <row r="18" spans="2:19" ht="13.5" x14ac:dyDescent="0.2">
      <c r="B18" s="7" t="s">
        <v>288</v>
      </c>
      <c r="C18" s="8" t="s">
        <v>280</v>
      </c>
      <c r="D18" s="8" t="s">
        <v>281</v>
      </c>
      <c r="E18" s="8"/>
      <c r="F18" s="16">
        <f>F49</f>
        <v>15000</v>
      </c>
      <c r="G18" s="7" t="s">
        <v>338</v>
      </c>
      <c r="H18" s="6">
        <f>$F18*H9</f>
        <v>0</v>
      </c>
      <c r="I18" s="6">
        <f>MAX($F18*(I9-H9),0)</f>
        <v>30000</v>
      </c>
      <c r="J18" s="6">
        <f t="shared" ref="J18:S18" si="1">MAX($F18*(J9-I9),0)</f>
        <v>15000</v>
      </c>
      <c r="K18" s="6">
        <f t="shared" si="1"/>
        <v>15000</v>
      </c>
      <c r="L18" s="6">
        <f t="shared" si="1"/>
        <v>15000</v>
      </c>
      <c r="M18" s="6">
        <f t="shared" si="1"/>
        <v>15000</v>
      </c>
      <c r="N18" s="6">
        <f t="shared" si="1"/>
        <v>0</v>
      </c>
      <c r="O18" s="6">
        <f t="shared" si="1"/>
        <v>0</v>
      </c>
      <c r="P18" s="6">
        <f t="shared" si="1"/>
        <v>0</v>
      </c>
      <c r="Q18" s="6">
        <f t="shared" si="1"/>
        <v>0</v>
      </c>
      <c r="R18" s="6">
        <f t="shared" si="1"/>
        <v>0</v>
      </c>
      <c r="S18" s="6">
        <f t="shared" si="1"/>
        <v>0</v>
      </c>
    </row>
    <row r="19" spans="2:19" ht="13.5" x14ac:dyDescent="0.2">
      <c r="B19" s="7" t="s">
        <v>289</v>
      </c>
      <c r="C19" s="8" t="s">
        <v>282</v>
      </c>
      <c r="D19" s="8" t="s">
        <v>13</v>
      </c>
      <c r="E19" s="8"/>
      <c r="F19" s="16">
        <v>380000</v>
      </c>
      <c r="G19" s="7" t="s">
        <v>337</v>
      </c>
      <c r="H19" s="6">
        <f>$F19*H$8</f>
        <v>2280000</v>
      </c>
      <c r="I19" s="6">
        <f t="shared" ref="I19:S19" si="2">$F19*I$8</f>
        <v>4560000</v>
      </c>
      <c r="J19" s="6">
        <f t="shared" si="2"/>
        <v>4560000</v>
      </c>
      <c r="K19" s="6">
        <f t="shared" si="2"/>
        <v>4560000</v>
      </c>
      <c r="L19" s="6">
        <f t="shared" si="2"/>
        <v>4560000</v>
      </c>
      <c r="M19" s="6">
        <f t="shared" si="2"/>
        <v>4560000</v>
      </c>
      <c r="N19" s="6">
        <f t="shared" si="2"/>
        <v>4560000</v>
      </c>
      <c r="O19" s="6">
        <f t="shared" si="2"/>
        <v>4560000</v>
      </c>
      <c r="P19" s="6">
        <f t="shared" si="2"/>
        <v>4560000</v>
      </c>
      <c r="Q19" s="6">
        <f t="shared" si="2"/>
        <v>4560000</v>
      </c>
      <c r="R19" s="6">
        <f t="shared" si="2"/>
        <v>4560000</v>
      </c>
      <c r="S19" s="6">
        <f t="shared" si="2"/>
        <v>2280000</v>
      </c>
    </row>
    <row r="20" spans="2:19" ht="13.5" x14ac:dyDescent="0.2">
      <c r="B20" s="7" t="s">
        <v>290</v>
      </c>
      <c r="C20" s="8" t="s">
        <v>283</v>
      </c>
      <c r="D20" s="8" t="s">
        <v>78</v>
      </c>
      <c r="E20" s="8"/>
      <c r="F20" s="16">
        <v>1400000</v>
      </c>
      <c r="G20" s="7"/>
      <c r="H20" s="6">
        <f>F20</f>
        <v>1400000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2:19" ht="13.5" x14ac:dyDescent="0.2">
      <c r="B21" s="7" t="s">
        <v>291</v>
      </c>
      <c r="C21" s="8" t="s">
        <v>284</v>
      </c>
      <c r="D21" s="8" t="s">
        <v>13</v>
      </c>
      <c r="E21" s="8"/>
      <c r="F21" s="16">
        <f>SUM(F56,F64,F70)+17*4200</f>
        <v>82300</v>
      </c>
      <c r="G21" s="7" t="s">
        <v>337</v>
      </c>
      <c r="H21" s="6">
        <f>$F21*H$8</f>
        <v>493800</v>
      </c>
      <c r="I21" s="6">
        <f t="shared" ref="I21:S21" si="3">$F21*I$8</f>
        <v>987600</v>
      </c>
      <c r="J21" s="6">
        <f t="shared" si="3"/>
        <v>987600</v>
      </c>
      <c r="K21" s="6">
        <f t="shared" si="3"/>
        <v>987600</v>
      </c>
      <c r="L21" s="6">
        <f t="shared" si="3"/>
        <v>987600</v>
      </c>
      <c r="M21" s="6">
        <f t="shared" si="3"/>
        <v>987600</v>
      </c>
      <c r="N21" s="6">
        <f t="shared" si="3"/>
        <v>987600</v>
      </c>
      <c r="O21" s="6">
        <f t="shared" si="3"/>
        <v>987600</v>
      </c>
      <c r="P21" s="6">
        <f t="shared" si="3"/>
        <v>987600</v>
      </c>
      <c r="Q21" s="6">
        <f t="shared" si="3"/>
        <v>987600</v>
      </c>
      <c r="R21" s="6">
        <f t="shared" si="3"/>
        <v>987600</v>
      </c>
      <c r="S21" s="6">
        <f t="shared" si="3"/>
        <v>493800</v>
      </c>
    </row>
    <row r="22" spans="2:19" ht="13.5" x14ac:dyDescent="0.2">
      <c r="B22" s="7" t="s">
        <v>292</v>
      </c>
      <c r="C22" s="8" t="s">
        <v>285</v>
      </c>
      <c r="D22" s="8" t="s">
        <v>78</v>
      </c>
      <c r="E22" s="8"/>
      <c r="F22" s="16">
        <f>SUM(F57,F65,F71)</f>
        <v>32500</v>
      </c>
      <c r="G22" s="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>
        <f>F22</f>
        <v>32500</v>
      </c>
    </row>
    <row r="23" spans="2:19" ht="27" x14ac:dyDescent="0.2">
      <c r="B23" s="7" t="s">
        <v>293</v>
      </c>
      <c r="C23" s="8" t="s">
        <v>465</v>
      </c>
      <c r="D23" s="8" t="s">
        <v>466</v>
      </c>
      <c r="E23" s="27" t="s">
        <v>479</v>
      </c>
      <c r="F23" s="16">
        <f>'[2]Agenda SVM (alt.1)'!$G$15</f>
        <v>23002</v>
      </c>
      <c r="G23" s="7" t="s">
        <v>476</v>
      </c>
      <c r="H23" s="6">
        <f>$F23*H$12*MAX(H$8,H$10)</f>
        <v>287175.36959999998</v>
      </c>
      <c r="I23" s="6">
        <f t="shared" ref="I23:S23" si="4">$F23*I$12*MAX(I$8,I$10)</f>
        <v>292918.87699199998</v>
      </c>
      <c r="J23" s="6">
        <f t="shared" si="4"/>
        <v>298777.25453183998</v>
      </c>
      <c r="K23" s="6">
        <f t="shared" si="4"/>
        <v>304752.7996224768</v>
      </c>
      <c r="L23" s="6">
        <f t="shared" si="4"/>
        <v>310847.85561492632</v>
      </c>
      <c r="M23" s="6">
        <f t="shared" si="4"/>
        <v>317064.81272722484</v>
      </c>
      <c r="N23" s="6">
        <f t="shared" si="4"/>
        <v>323406.1089817693</v>
      </c>
      <c r="O23" s="6">
        <f t="shared" si="4"/>
        <v>329874.23116140475</v>
      </c>
      <c r="P23" s="6">
        <f t="shared" si="4"/>
        <v>336471.71578463283</v>
      </c>
      <c r="Q23" s="6">
        <f t="shared" si="4"/>
        <v>343201.15010032547</v>
      </c>
      <c r="R23" s="6">
        <f t="shared" si="4"/>
        <v>350065.17310233199</v>
      </c>
      <c r="S23" s="6">
        <f t="shared" si="4"/>
        <v>178533.2382821893</v>
      </c>
    </row>
    <row r="24" spans="2:19" ht="27" x14ac:dyDescent="0.2">
      <c r="B24" s="7" t="s">
        <v>294</v>
      </c>
      <c r="C24" s="8" t="s">
        <v>286</v>
      </c>
      <c r="D24" s="8" t="s">
        <v>13</v>
      </c>
      <c r="E24" s="8" t="s">
        <v>348</v>
      </c>
      <c r="F24" s="16">
        <v>0</v>
      </c>
      <c r="G24" s="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2:19" ht="13.5" x14ac:dyDescent="0.2">
      <c r="B25" s="4"/>
      <c r="C25" s="5" t="s">
        <v>58</v>
      </c>
      <c r="D25" s="5"/>
      <c r="E25" s="5"/>
      <c r="F25" s="5"/>
      <c r="G25" s="4"/>
      <c r="H25" s="32">
        <f t="shared" ref="H25:S25" si="5">SUM(H16:H24)</f>
        <v>12110615.425849998</v>
      </c>
      <c r="I25" s="32">
        <f t="shared" si="5"/>
        <v>5984368.8769920003</v>
      </c>
      <c r="J25" s="32">
        <f t="shared" si="5"/>
        <v>5888977.2545318399</v>
      </c>
      <c r="K25" s="32">
        <f t="shared" si="5"/>
        <v>5953602.799622477</v>
      </c>
      <c r="L25" s="32">
        <f t="shared" si="5"/>
        <v>5966597.8556149267</v>
      </c>
      <c r="M25" s="32">
        <f t="shared" si="5"/>
        <v>6014214.812727225</v>
      </c>
      <c r="N25" s="32">
        <f t="shared" si="5"/>
        <v>5964156.1089817695</v>
      </c>
      <c r="O25" s="32">
        <f t="shared" si="5"/>
        <v>6277674.2311614044</v>
      </c>
      <c r="P25" s="32">
        <f t="shared" si="5"/>
        <v>6004821.7157846326</v>
      </c>
      <c r="Q25" s="32">
        <f t="shared" si="5"/>
        <v>6190951.1501003252</v>
      </c>
      <c r="R25" s="32">
        <f t="shared" si="5"/>
        <v>5928715.1731023323</v>
      </c>
      <c r="S25" s="32">
        <f t="shared" si="5"/>
        <v>2984833.2382821892</v>
      </c>
    </row>
    <row r="26" spans="2:19" ht="13.5" x14ac:dyDescent="0.2">
      <c r="B26" s="4"/>
      <c r="C26" s="5" t="s">
        <v>410</v>
      </c>
      <c r="D26" s="5" t="s">
        <v>411</v>
      </c>
      <c r="E26" s="5"/>
      <c r="F26" s="62">
        <v>0.04</v>
      </c>
      <c r="G26" s="4"/>
      <c r="H26" s="32">
        <f>H25/((1+$F26)^(H15-2020))</f>
        <v>11196944.735438237</v>
      </c>
      <c r="I26" s="32">
        <f t="shared" ref="I26:S26" si="6">I25/((1+$F26)^(I15-2020))</f>
        <v>5320082.1405894402</v>
      </c>
      <c r="J26" s="32">
        <f t="shared" si="6"/>
        <v>5033922.4380525444</v>
      </c>
      <c r="K26" s="32">
        <f t="shared" si="6"/>
        <v>4893427.5238880776</v>
      </c>
      <c r="L26" s="32">
        <f t="shared" si="6"/>
        <v>4715488.9544828152</v>
      </c>
      <c r="M26" s="32">
        <f t="shared" si="6"/>
        <v>4570308.9686151296</v>
      </c>
      <c r="N26" s="32">
        <f t="shared" si="6"/>
        <v>4357950.4499357231</v>
      </c>
      <c r="O26" s="32">
        <f t="shared" si="6"/>
        <v>4410610.6450990355</v>
      </c>
      <c r="P26" s="32">
        <f t="shared" si="6"/>
        <v>4056642.391371151</v>
      </c>
      <c r="Q26" s="32">
        <f t="shared" si="6"/>
        <v>4021523.8153448538</v>
      </c>
      <c r="R26" s="32">
        <f t="shared" si="6"/>
        <v>3703058.0049202819</v>
      </c>
      <c r="S26" s="32">
        <f t="shared" si="6"/>
        <v>1792613.4943457374</v>
      </c>
    </row>
    <row r="29" spans="2:19" x14ac:dyDescent="0.2">
      <c r="G29"/>
    </row>
    <row r="32" spans="2:19" ht="18" customHeight="1" thickBot="1" x14ac:dyDescent="0.25">
      <c r="B32" s="80" t="s">
        <v>296</v>
      </c>
      <c r="C32" s="80"/>
      <c r="D32" s="80"/>
      <c r="E32" s="80"/>
      <c r="F32" s="80"/>
      <c r="G32" s="80"/>
    </row>
    <row r="33" spans="1:19" ht="13.5" thickTop="1" x14ac:dyDescent="0.2"/>
    <row r="34" spans="1:19" ht="15.75" thickBot="1" x14ac:dyDescent="0.3">
      <c r="B34" s="22" t="s">
        <v>50</v>
      </c>
      <c r="C34" s="23"/>
    </row>
    <row r="36" spans="1:19" ht="13.5" x14ac:dyDescent="0.2">
      <c r="B36" s="13"/>
      <c r="C36" s="21" t="s">
        <v>48</v>
      </c>
      <c r="D36" s="13" t="s">
        <v>51</v>
      </c>
      <c r="E36" s="82" t="s">
        <v>53</v>
      </c>
      <c r="F36" s="82"/>
      <c r="G36" s="13" t="s">
        <v>35</v>
      </c>
      <c r="H36" s="13">
        <v>2022</v>
      </c>
      <c r="I36" s="13">
        <v>2023</v>
      </c>
      <c r="J36" s="13">
        <v>2024</v>
      </c>
      <c r="K36" s="13">
        <v>2025</v>
      </c>
      <c r="L36" s="13">
        <v>2026</v>
      </c>
      <c r="M36" s="13">
        <v>2027</v>
      </c>
      <c r="N36" s="13">
        <v>2028</v>
      </c>
      <c r="O36" s="13">
        <v>2029</v>
      </c>
      <c r="P36" s="13">
        <v>2030</v>
      </c>
      <c r="Q36" s="13">
        <v>2031</v>
      </c>
      <c r="R36" s="13">
        <v>2032</v>
      </c>
      <c r="S36" s="13">
        <v>2033</v>
      </c>
    </row>
    <row r="37" spans="1:19" x14ac:dyDescent="0.2">
      <c r="B37" s="11"/>
      <c r="C37" s="11"/>
      <c r="D37" s="11"/>
      <c r="E37" s="12"/>
      <c r="F37" s="12"/>
      <c r="G37" s="12">
        <v>1</v>
      </c>
      <c r="H37" s="12">
        <v>2</v>
      </c>
      <c r="I37" s="12">
        <v>3</v>
      </c>
      <c r="J37" s="12">
        <v>4</v>
      </c>
      <c r="K37" s="12">
        <v>5</v>
      </c>
      <c r="L37" s="12">
        <v>6</v>
      </c>
      <c r="M37" s="12">
        <v>7</v>
      </c>
      <c r="N37" s="12">
        <v>8</v>
      </c>
      <c r="O37" s="12">
        <v>9</v>
      </c>
      <c r="P37" s="12">
        <v>10</v>
      </c>
      <c r="Q37" s="12">
        <v>11</v>
      </c>
      <c r="R37" s="12">
        <v>12</v>
      </c>
      <c r="S37" s="12">
        <v>13</v>
      </c>
    </row>
    <row r="38" spans="1:19" ht="13.5" x14ac:dyDescent="0.2">
      <c r="B38" s="7"/>
      <c r="C38" s="8" t="s">
        <v>36</v>
      </c>
      <c r="D38" s="8"/>
      <c r="E38" s="18"/>
      <c r="F38" s="8"/>
      <c r="G38" s="7" t="s">
        <v>350</v>
      </c>
      <c r="H38" s="6">
        <v>6</v>
      </c>
      <c r="I38" s="6">
        <v>12</v>
      </c>
      <c r="J38" s="6">
        <v>12</v>
      </c>
      <c r="K38" s="6">
        <v>12</v>
      </c>
      <c r="L38" s="6">
        <v>12</v>
      </c>
      <c r="M38" s="6">
        <v>12</v>
      </c>
      <c r="N38" s="6">
        <v>12</v>
      </c>
      <c r="O38" s="6">
        <v>12</v>
      </c>
      <c r="P38" s="6">
        <v>12</v>
      </c>
      <c r="Q38" s="6">
        <v>12</v>
      </c>
      <c r="R38" s="6">
        <v>12</v>
      </c>
      <c r="S38" s="1">
        <v>6</v>
      </c>
    </row>
    <row r="39" spans="1:19" ht="13.5" x14ac:dyDescent="0.2">
      <c r="B39" s="7"/>
      <c r="C39" s="8" t="s">
        <v>336</v>
      </c>
      <c r="D39" s="8"/>
      <c r="E39" s="19"/>
      <c r="F39" s="20"/>
      <c r="G39" s="7" t="s">
        <v>351</v>
      </c>
      <c r="H39" s="6"/>
      <c r="I39" s="6">
        <v>2</v>
      </c>
      <c r="J39" s="6">
        <v>3</v>
      </c>
      <c r="K39" s="6">
        <v>4</v>
      </c>
      <c r="L39" s="6">
        <v>5</v>
      </c>
      <c r="M39" s="6">
        <v>6</v>
      </c>
      <c r="N39" s="6">
        <v>6</v>
      </c>
      <c r="O39" s="6">
        <v>6</v>
      </c>
      <c r="P39" s="6">
        <v>6</v>
      </c>
      <c r="Q39" s="6">
        <v>6</v>
      </c>
      <c r="R39" s="6">
        <v>6</v>
      </c>
      <c r="S39" s="1"/>
    </row>
    <row r="40" spans="1:19" ht="13.5" x14ac:dyDescent="0.2">
      <c r="B40" s="7"/>
      <c r="C40" s="8" t="s">
        <v>41</v>
      </c>
      <c r="D40" s="8"/>
      <c r="E40" s="19"/>
      <c r="F40" s="20"/>
      <c r="G40" s="7" t="s">
        <v>352</v>
      </c>
      <c r="H40" s="6">
        <v>12</v>
      </c>
      <c r="I40" s="6">
        <v>6</v>
      </c>
      <c r="J40" s="6"/>
      <c r="K40" s="6"/>
      <c r="L40" s="6"/>
      <c r="M40" s="6"/>
      <c r="N40" s="6"/>
      <c r="O40" s="6"/>
      <c r="P40" s="6"/>
      <c r="Q40" s="6"/>
      <c r="R40" s="6">
        <v>6</v>
      </c>
      <c r="S40" s="1">
        <v>6</v>
      </c>
    </row>
    <row r="41" spans="1:19" ht="13.5" x14ac:dyDescent="0.2">
      <c r="B41" s="7"/>
      <c r="C41" s="8" t="s">
        <v>342</v>
      </c>
      <c r="D41" s="27" t="s">
        <v>216</v>
      </c>
      <c r="E41" s="19"/>
      <c r="F41" s="20"/>
      <c r="G41" s="7" t="s">
        <v>353</v>
      </c>
      <c r="H41" s="6">
        <f>[5]GNSS_O1!H$21</f>
        <v>1584</v>
      </c>
      <c r="I41" s="6">
        <f>[5]GNSS_O1!I$21</f>
        <v>1599</v>
      </c>
      <c r="J41" s="6">
        <f>[5]GNSS_O1!J$21</f>
        <v>1603</v>
      </c>
      <c r="K41" s="6">
        <f>[5]GNSS_O1!K$21</f>
        <v>1612</v>
      </c>
      <c r="L41" s="6">
        <f>[5]GNSS_O1!L$21</f>
        <v>1639</v>
      </c>
      <c r="M41" s="6">
        <f>[5]GNSS_O1!M$21</f>
        <v>1652</v>
      </c>
      <c r="N41" s="6">
        <f>[5]GNSS_O1!N$21</f>
        <v>1667</v>
      </c>
      <c r="O41" s="6">
        <f>[5]GNSS_O1!O$21</f>
        <v>1713</v>
      </c>
      <c r="P41" s="6">
        <f>[5]GNSS_O1!P$21</f>
        <v>1732</v>
      </c>
      <c r="Q41" s="6">
        <f>[5]GNSS_O1!Q$21</f>
        <v>1755</v>
      </c>
      <c r="R41" s="6">
        <f>[5]GNSS_O1!R$21</f>
        <v>1762</v>
      </c>
      <c r="S41" s="6">
        <v>0</v>
      </c>
    </row>
    <row r="42" spans="1:19" ht="13.5" x14ac:dyDescent="0.2">
      <c r="B42" s="7"/>
      <c r="C42" s="8" t="s">
        <v>467</v>
      </c>
      <c r="D42" s="8"/>
      <c r="E42" s="73">
        <v>0.02</v>
      </c>
      <c r="F42" s="8"/>
      <c r="G42" s="7" t="s">
        <v>475</v>
      </c>
      <c r="H42" s="72">
        <f>(1+$E42)^(H$36-2020)</f>
        <v>1.0404</v>
      </c>
      <c r="I42" s="72">
        <f t="shared" ref="I42:S42" si="7">(1+$E42)^(I$36-2020)</f>
        <v>1.0612079999999999</v>
      </c>
      <c r="J42" s="72">
        <f t="shared" si="7"/>
        <v>1.08243216</v>
      </c>
      <c r="K42" s="72">
        <f t="shared" si="7"/>
        <v>1.1040808032</v>
      </c>
      <c r="L42" s="72">
        <f t="shared" si="7"/>
        <v>1.1261624192640001</v>
      </c>
      <c r="M42" s="72">
        <f t="shared" si="7"/>
        <v>1.1486856676492798</v>
      </c>
      <c r="N42" s="72">
        <f t="shared" si="7"/>
        <v>1.1716593810022655</v>
      </c>
      <c r="O42" s="72">
        <f t="shared" si="7"/>
        <v>1.1950925686223108</v>
      </c>
      <c r="P42" s="72">
        <f t="shared" si="7"/>
        <v>1.2189944199947571</v>
      </c>
      <c r="Q42" s="72">
        <f t="shared" si="7"/>
        <v>1.243374308394652</v>
      </c>
      <c r="R42" s="72">
        <f t="shared" si="7"/>
        <v>1.2682417945625453</v>
      </c>
      <c r="S42" s="72">
        <f t="shared" si="7"/>
        <v>1.2936066304537961</v>
      </c>
    </row>
    <row r="43" spans="1:19" ht="13.5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ht="13.5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ht="15.75" thickBot="1" x14ac:dyDescent="0.3">
      <c r="B45" s="22" t="s">
        <v>201</v>
      </c>
      <c r="C45" s="23"/>
    </row>
    <row r="46" spans="1:19" ht="29.25" customHeight="1" x14ac:dyDescent="0.2">
      <c r="B46" s="79" t="s">
        <v>406</v>
      </c>
      <c r="C46" s="79"/>
      <c r="D46" s="79"/>
      <c r="H46" s="79" t="s">
        <v>407</v>
      </c>
      <c r="I46" s="79"/>
      <c r="J46" s="79"/>
      <c r="K46" s="79"/>
    </row>
    <row r="47" spans="1:19" ht="40.5" x14ac:dyDescent="0.2">
      <c r="B47" s="4" t="s">
        <v>0</v>
      </c>
      <c r="C47" s="5" t="s">
        <v>1</v>
      </c>
      <c r="D47" s="5" t="s">
        <v>2</v>
      </c>
      <c r="E47" s="5" t="s">
        <v>3</v>
      </c>
      <c r="F47" s="5" t="s">
        <v>33</v>
      </c>
      <c r="G47" s="4" t="s">
        <v>35</v>
      </c>
      <c r="H47" s="4">
        <v>2022</v>
      </c>
      <c r="I47" s="4">
        <v>2023</v>
      </c>
      <c r="J47" s="4">
        <v>2024</v>
      </c>
      <c r="K47" s="4">
        <v>2025</v>
      </c>
      <c r="L47" s="4">
        <v>2026</v>
      </c>
      <c r="M47" s="4">
        <v>2027</v>
      </c>
      <c r="N47" s="4">
        <v>2028</v>
      </c>
      <c r="O47" s="4">
        <v>2029</v>
      </c>
      <c r="P47" s="4">
        <v>2030</v>
      </c>
      <c r="Q47" s="4">
        <v>2031</v>
      </c>
      <c r="R47" s="4">
        <v>2032</v>
      </c>
      <c r="S47" s="4">
        <v>2033</v>
      </c>
    </row>
    <row r="48" spans="1:19" s="25" customFormat="1" ht="13.5" x14ac:dyDescent="0.2">
      <c r="B48" s="7" t="s">
        <v>312</v>
      </c>
      <c r="C48" s="8" t="s">
        <v>507</v>
      </c>
      <c r="D48" s="8" t="s">
        <v>78</v>
      </c>
      <c r="E48" s="27" t="s">
        <v>477</v>
      </c>
      <c r="F48" s="16">
        <f>SUM([3]FINAL_UCPA_Moduly!$B$10:$G$10)</f>
        <v>3295740.0562499994</v>
      </c>
      <c r="G48" s="7"/>
      <c r="H48" s="6">
        <f>F48</f>
        <v>3295740.0562499994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2:19" s="25" customFormat="1" ht="13.5" x14ac:dyDescent="0.2">
      <c r="B49" s="7" t="s">
        <v>313</v>
      </c>
      <c r="C49" s="8" t="s">
        <v>280</v>
      </c>
      <c r="D49" s="8" t="s">
        <v>281</v>
      </c>
      <c r="E49" s="8" t="s">
        <v>55</v>
      </c>
      <c r="F49" s="16">
        <v>15000</v>
      </c>
      <c r="G49" s="7" t="s">
        <v>351</v>
      </c>
      <c r="H49" s="6">
        <f>$F49*H39</f>
        <v>0</v>
      </c>
      <c r="I49" s="6">
        <f t="shared" ref="I49:S49" si="8">MAX($F49*(I39-H39),0)</f>
        <v>30000</v>
      </c>
      <c r="J49" s="6">
        <f t="shared" si="8"/>
        <v>15000</v>
      </c>
      <c r="K49" s="6">
        <f t="shared" si="8"/>
        <v>15000</v>
      </c>
      <c r="L49" s="6">
        <f t="shared" si="8"/>
        <v>15000</v>
      </c>
      <c r="M49" s="6">
        <f t="shared" si="8"/>
        <v>15000</v>
      </c>
      <c r="N49" s="6">
        <f t="shared" si="8"/>
        <v>0</v>
      </c>
      <c r="O49" s="6">
        <f t="shared" si="8"/>
        <v>0</v>
      </c>
      <c r="P49" s="6">
        <f t="shared" si="8"/>
        <v>0</v>
      </c>
      <c r="Q49" s="6">
        <f t="shared" si="8"/>
        <v>0</v>
      </c>
      <c r="R49" s="6">
        <f t="shared" si="8"/>
        <v>0</v>
      </c>
      <c r="S49" s="6">
        <f t="shared" si="8"/>
        <v>0</v>
      </c>
    </row>
    <row r="50" spans="2:19" s="25" customFormat="1" ht="13.5" x14ac:dyDescent="0.2">
      <c r="B50" s="7" t="s">
        <v>314</v>
      </c>
      <c r="C50" s="8" t="s">
        <v>504</v>
      </c>
      <c r="D50" s="8" t="s">
        <v>13</v>
      </c>
      <c r="E50" s="8" t="s">
        <v>501</v>
      </c>
      <c r="F50" s="16">
        <f>640*12.5+2500</f>
        <v>10500</v>
      </c>
      <c r="G50" s="7" t="s">
        <v>350</v>
      </c>
      <c r="H50" s="6">
        <f>$F50*H$38</f>
        <v>63000</v>
      </c>
      <c r="I50" s="6">
        <f t="shared" ref="I50:S56" si="9">$F50*I$38</f>
        <v>126000</v>
      </c>
      <c r="J50" s="6">
        <f t="shared" si="9"/>
        <v>126000</v>
      </c>
      <c r="K50" s="6">
        <f t="shared" si="9"/>
        <v>126000</v>
      </c>
      <c r="L50" s="6">
        <f t="shared" si="9"/>
        <v>126000</v>
      </c>
      <c r="M50" s="6">
        <f t="shared" si="9"/>
        <v>126000</v>
      </c>
      <c r="N50" s="6">
        <f t="shared" si="9"/>
        <v>126000</v>
      </c>
      <c r="O50" s="6">
        <f t="shared" si="9"/>
        <v>126000</v>
      </c>
      <c r="P50" s="6">
        <f t="shared" si="9"/>
        <v>126000</v>
      </c>
      <c r="Q50" s="6">
        <f t="shared" si="9"/>
        <v>126000</v>
      </c>
      <c r="R50" s="6">
        <f t="shared" si="9"/>
        <v>126000</v>
      </c>
      <c r="S50" s="6">
        <f t="shared" si="9"/>
        <v>63000</v>
      </c>
    </row>
    <row r="51" spans="2:19" s="25" customFormat="1" ht="13.5" x14ac:dyDescent="0.2">
      <c r="B51" s="7" t="s">
        <v>315</v>
      </c>
      <c r="C51" s="8" t="s">
        <v>505</v>
      </c>
      <c r="D51" s="8" t="s">
        <v>466</v>
      </c>
      <c r="E51" s="27" t="s">
        <v>478</v>
      </c>
      <c r="F51" s="16">
        <f>'[2]Agenda SVM (alt.2)'!$G$100</f>
        <v>233373</v>
      </c>
      <c r="G51" s="7" t="s">
        <v>476</v>
      </c>
      <c r="H51" s="6">
        <f>$F51*H$42*MAX(H$38,H$40)</f>
        <v>2913615.2304000002</v>
      </c>
      <c r="I51" s="6">
        <f t="shared" ref="I51:S51" si="10">$F51*I$12*MAX(I$8,I$10)</f>
        <v>2971887.5350079997</v>
      </c>
      <c r="J51" s="6">
        <f t="shared" si="10"/>
        <v>3031325.2857081601</v>
      </c>
      <c r="K51" s="6">
        <f t="shared" si="10"/>
        <v>3091951.7914223233</v>
      </c>
      <c r="L51" s="6">
        <f t="shared" si="10"/>
        <v>3153790.8272507694</v>
      </c>
      <c r="M51" s="6">
        <f t="shared" si="10"/>
        <v>3216866.6437957846</v>
      </c>
      <c r="N51" s="6">
        <f t="shared" si="10"/>
        <v>3281203.9766717004</v>
      </c>
      <c r="O51" s="6">
        <f t="shared" si="10"/>
        <v>3346828.0562051344</v>
      </c>
      <c r="P51" s="6">
        <f t="shared" si="10"/>
        <v>3413764.6173292371</v>
      </c>
      <c r="Q51" s="6">
        <f t="shared" si="10"/>
        <v>3482039.9096758217</v>
      </c>
      <c r="R51" s="6">
        <f t="shared" si="10"/>
        <v>3551680.7078693388</v>
      </c>
      <c r="S51" s="6">
        <f t="shared" si="10"/>
        <v>1811357.1610133625</v>
      </c>
    </row>
    <row r="52" spans="2:19" s="25" customFormat="1" ht="27" x14ac:dyDescent="0.2">
      <c r="B52" s="7" t="s">
        <v>316</v>
      </c>
      <c r="C52" s="8" t="s">
        <v>506</v>
      </c>
      <c r="D52" s="8" t="s">
        <v>13</v>
      </c>
      <c r="E52" s="8" t="s">
        <v>339</v>
      </c>
      <c r="F52" s="16">
        <v>2000</v>
      </c>
      <c r="G52" s="7" t="s">
        <v>350</v>
      </c>
      <c r="H52" s="6">
        <f t="shared" ref="H52" si="11">$F52*H$38</f>
        <v>12000</v>
      </c>
      <c r="I52" s="6">
        <f t="shared" si="9"/>
        <v>24000</v>
      </c>
      <c r="J52" s="6">
        <f t="shared" si="9"/>
        <v>24000</v>
      </c>
      <c r="K52" s="6">
        <f t="shared" si="9"/>
        <v>24000</v>
      </c>
      <c r="L52" s="6">
        <f t="shared" si="9"/>
        <v>24000</v>
      </c>
      <c r="M52" s="6">
        <f t="shared" si="9"/>
        <v>24000</v>
      </c>
      <c r="N52" s="6">
        <f t="shared" si="9"/>
        <v>24000</v>
      </c>
      <c r="O52" s="6">
        <f t="shared" si="9"/>
        <v>24000</v>
      </c>
      <c r="P52" s="6">
        <f t="shared" si="9"/>
        <v>24000</v>
      </c>
      <c r="Q52" s="6">
        <f t="shared" si="9"/>
        <v>24000</v>
      </c>
      <c r="R52" s="6">
        <f t="shared" si="9"/>
        <v>24000</v>
      </c>
      <c r="S52" s="6">
        <f t="shared" si="9"/>
        <v>12000</v>
      </c>
    </row>
    <row r="53" spans="2:19" s="25" customFormat="1" ht="13.5" x14ac:dyDescent="0.2">
      <c r="B53" s="7" t="s">
        <v>317</v>
      </c>
      <c r="C53" s="8" t="s">
        <v>297</v>
      </c>
      <c r="D53" s="8" t="s">
        <v>78</v>
      </c>
      <c r="E53" s="8" t="s">
        <v>55</v>
      </c>
      <c r="F53" s="16">
        <v>1400000</v>
      </c>
      <c r="G53" s="7"/>
      <c r="H53" s="6">
        <f>F53</f>
        <v>1400000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2:19" s="25" customFormat="1" ht="27" x14ac:dyDescent="0.2">
      <c r="B54" s="7" t="s">
        <v>318</v>
      </c>
      <c r="C54" s="8" t="s">
        <v>298</v>
      </c>
      <c r="D54" s="8" t="s">
        <v>13</v>
      </c>
      <c r="E54" s="8" t="s">
        <v>160</v>
      </c>
      <c r="F54" s="16">
        <f>48*12.5+500</f>
        <v>1100</v>
      </c>
      <c r="G54" s="7" t="s">
        <v>350</v>
      </c>
      <c r="H54" s="6">
        <f t="shared" ref="H54:H56" si="12">$F54*H$38</f>
        <v>6600</v>
      </c>
      <c r="I54" s="6">
        <f t="shared" si="9"/>
        <v>13200</v>
      </c>
      <c r="J54" s="6">
        <f t="shared" si="9"/>
        <v>13200</v>
      </c>
      <c r="K54" s="6">
        <f t="shared" si="9"/>
        <v>13200</v>
      </c>
      <c r="L54" s="6">
        <f t="shared" si="9"/>
        <v>13200</v>
      </c>
      <c r="M54" s="6">
        <f t="shared" si="9"/>
        <v>13200</v>
      </c>
      <c r="N54" s="6">
        <f t="shared" si="9"/>
        <v>13200</v>
      </c>
      <c r="O54" s="6">
        <f t="shared" si="9"/>
        <v>13200</v>
      </c>
      <c r="P54" s="6">
        <f t="shared" si="9"/>
        <v>13200</v>
      </c>
      <c r="Q54" s="6">
        <f t="shared" si="9"/>
        <v>13200</v>
      </c>
      <c r="R54" s="6">
        <f t="shared" si="9"/>
        <v>13200</v>
      </c>
      <c r="S54" s="6">
        <f t="shared" si="9"/>
        <v>6600</v>
      </c>
    </row>
    <row r="55" spans="2:19" s="25" customFormat="1" ht="27" x14ac:dyDescent="0.2">
      <c r="B55" s="7" t="s">
        <v>319</v>
      </c>
      <c r="C55" s="8" t="s">
        <v>299</v>
      </c>
      <c r="D55" s="8" t="s">
        <v>13</v>
      </c>
      <c r="E55" s="8" t="s">
        <v>340</v>
      </c>
      <c r="F55" s="16">
        <v>800</v>
      </c>
      <c r="G55" s="7" t="s">
        <v>350</v>
      </c>
      <c r="H55" s="6">
        <f t="shared" si="12"/>
        <v>4800</v>
      </c>
      <c r="I55" s="6">
        <f t="shared" si="9"/>
        <v>9600</v>
      </c>
      <c r="J55" s="6">
        <f t="shared" si="9"/>
        <v>9600</v>
      </c>
      <c r="K55" s="6">
        <f t="shared" si="9"/>
        <v>9600</v>
      </c>
      <c r="L55" s="6">
        <f t="shared" si="9"/>
        <v>9600</v>
      </c>
      <c r="M55" s="6">
        <f t="shared" si="9"/>
        <v>9600</v>
      </c>
      <c r="N55" s="6">
        <f t="shared" si="9"/>
        <v>9600</v>
      </c>
      <c r="O55" s="6">
        <f t="shared" si="9"/>
        <v>9600</v>
      </c>
      <c r="P55" s="6">
        <f t="shared" si="9"/>
        <v>9600</v>
      </c>
      <c r="Q55" s="6">
        <f t="shared" si="9"/>
        <v>9600</v>
      </c>
      <c r="R55" s="6">
        <f t="shared" si="9"/>
        <v>9600</v>
      </c>
      <c r="S55" s="6">
        <f t="shared" si="9"/>
        <v>4800</v>
      </c>
    </row>
    <row r="56" spans="2:19" s="25" customFormat="1" ht="13.5" x14ac:dyDescent="0.2">
      <c r="B56" s="7" t="s">
        <v>320</v>
      </c>
      <c r="C56" s="8" t="s">
        <v>300</v>
      </c>
      <c r="D56" s="8" t="s">
        <v>13</v>
      </c>
      <c r="E56" s="8" t="s">
        <v>55</v>
      </c>
      <c r="F56" s="16">
        <f>ROUND(4%*F53/12,-2)</f>
        <v>4700</v>
      </c>
      <c r="G56" s="7" t="s">
        <v>350</v>
      </c>
      <c r="H56" s="6">
        <f t="shared" si="12"/>
        <v>28200</v>
      </c>
      <c r="I56" s="6">
        <f t="shared" si="9"/>
        <v>56400</v>
      </c>
      <c r="J56" s="6">
        <f t="shared" si="9"/>
        <v>56400</v>
      </c>
      <c r="K56" s="6">
        <f t="shared" si="9"/>
        <v>56400</v>
      </c>
      <c r="L56" s="6">
        <f t="shared" si="9"/>
        <v>56400</v>
      </c>
      <c r="M56" s="6">
        <f t="shared" si="9"/>
        <v>56400</v>
      </c>
      <c r="N56" s="6">
        <f t="shared" si="9"/>
        <v>56400</v>
      </c>
      <c r="O56" s="6">
        <f t="shared" si="9"/>
        <v>56400</v>
      </c>
      <c r="P56" s="6">
        <f t="shared" si="9"/>
        <v>56400</v>
      </c>
      <c r="Q56" s="6">
        <f t="shared" si="9"/>
        <v>56400</v>
      </c>
      <c r="R56" s="6">
        <f t="shared" si="9"/>
        <v>56400</v>
      </c>
      <c r="S56" s="6">
        <f t="shared" si="9"/>
        <v>28200</v>
      </c>
    </row>
    <row r="57" spans="2:19" s="25" customFormat="1" ht="13.5" x14ac:dyDescent="0.2">
      <c r="B57" s="7" t="s">
        <v>321</v>
      </c>
      <c r="C57" s="8" t="s">
        <v>301</v>
      </c>
      <c r="D57" s="8" t="s">
        <v>78</v>
      </c>
      <c r="E57" s="8" t="s">
        <v>55</v>
      </c>
      <c r="F57" s="16">
        <f>1%*F53</f>
        <v>14000</v>
      </c>
      <c r="G57" s="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>
        <f>F57</f>
        <v>14000</v>
      </c>
    </row>
    <row r="58" spans="2:19" s="25" customFormat="1" ht="27" x14ac:dyDescent="0.2">
      <c r="B58" s="7" t="s">
        <v>322</v>
      </c>
      <c r="C58" s="8" t="s">
        <v>502</v>
      </c>
      <c r="D58" s="8" t="s">
        <v>78</v>
      </c>
      <c r="E58" s="8" t="s">
        <v>503</v>
      </c>
      <c r="F58" s="16">
        <f>ROUND(12%*F48,0)</f>
        <v>395489</v>
      </c>
      <c r="G58" s="7"/>
      <c r="H58" s="6"/>
      <c r="I58" s="6">
        <f t="shared" ref="I58:R58" si="13">$F58</f>
        <v>395489</v>
      </c>
      <c r="J58" s="6">
        <f t="shared" si="13"/>
        <v>395489</v>
      </c>
      <c r="K58" s="6">
        <f t="shared" si="13"/>
        <v>395489</v>
      </c>
      <c r="L58" s="6">
        <f t="shared" si="13"/>
        <v>395489</v>
      </c>
      <c r="M58" s="6">
        <f t="shared" si="13"/>
        <v>395489</v>
      </c>
      <c r="N58" s="6">
        <f t="shared" si="13"/>
        <v>395489</v>
      </c>
      <c r="O58" s="6">
        <f t="shared" si="13"/>
        <v>395489</v>
      </c>
      <c r="P58" s="6">
        <f t="shared" si="13"/>
        <v>395489</v>
      </c>
      <c r="Q58" s="6">
        <f t="shared" si="13"/>
        <v>395489</v>
      </c>
      <c r="R58" s="6">
        <f t="shared" si="13"/>
        <v>395489</v>
      </c>
      <c r="S58" s="6"/>
    </row>
    <row r="59" spans="2:19" s="25" customFormat="1" ht="13.5" x14ac:dyDescent="0.2">
      <c r="B59" s="7" t="s">
        <v>323</v>
      </c>
      <c r="C59" s="8" t="s">
        <v>302</v>
      </c>
      <c r="D59" s="8" t="s">
        <v>78</v>
      </c>
      <c r="E59" s="27" t="s">
        <v>216</v>
      </c>
      <c r="F59" s="16">
        <f>[5]GNSS!$D$24</f>
        <v>3450</v>
      </c>
      <c r="G59" s="7" t="s">
        <v>353</v>
      </c>
      <c r="H59" s="6">
        <f>F59*H41</f>
        <v>5464800</v>
      </c>
      <c r="I59" s="6">
        <f>(I41-H41)*$F59</f>
        <v>51750</v>
      </c>
      <c r="J59" s="6">
        <f t="shared" ref="J59:R59" si="14">(J41-I41)*$F59</f>
        <v>13800</v>
      </c>
      <c r="K59" s="6">
        <f t="shared" si="14"/>
        <v>31050</v>
      </c>
      <c r="L59" s="6">
        <f t="shared" si="14"/>
        <v>93150</v>
      </c>
      <c r="M59" s="6">
        <f t="shared" si="14"/>
        <v>44850</v>
      </c>
      <c r="N59" s="6">
        <f t="shared" si="14"/>
        <v>51750</v>
      </c>
      <c r="O59" s="6">
        <f t="shared" si="14"/>
        <v>158700</v>
      </c>
      <c r="P59" s="6">
        <f t="shared" si="14"/>
        <v>65550</v>
      </c>
      <c r="Q59" s="6">
        <f t="shared" si="14"/>
        <v>79350</v>
      </c>
      <c r="R59" s="6">
        <f t="shared" si="14"/>
        <v>24150</v>
      </c>
      <c r="S59" s="6">
        <f>[4]GNSS!S$28</f>
        <v>0</v>
      </c>
    </row>
    <row r="60" spans="2:19" s="25" customFormat="1" ht="27" x14ac:dyDescent="0.2">
      <c r="B60" s="7" t="s">
        <v>324</v>
      </c>
      <c r="C60" s="8" t="s">
        <v>508</v>
      </c>
      <c r="D60" s="8" t="s">
        <v>13</v>
      </c>
      <c r="E60" s="8" t="s">
        <v>344</v>
      </c>
      <c r="F60" s="16">
        <v>3200</v>
      </c>
      <c r="G60" s="7" t="s">
        <v>350</v>
      </c>
      <c r="H60" s="6">
        <f t="shared" ref="H60:S60" si="15">$F60*H$38</f>
        <v>19200</v>
      </c>
      <c r="I60" s="6">
        <f t="shared" si="15"/>
        <v>38400</v>
      </c>
      <c r="J60" s="6">
        <f t="shared" si="15"/>
        <v>38400</v>
      </c>
      <c r="K60" s="6">
        <f t="shared" si="15"/>
        <v>38400</v>
      </c>
      <c r="L60" s="6">
        <f t="shared" si="15"/>
        <v>38400</v>
      </c>
      <c r="M60" s="6">
        <f t="shared" si="15"/>
        <v>38400</v>
      </c>
      <c r="N60" s="6">
        <f t="shared" si="15"/>
        <v>38400</v>
      </c>
      <c r="O60" s="6">
        <f t="shared" si="15"/>
        <v>38400</v>
      </c>
      <c r="P60" s="6">
        <f t="shared" si="15"/>
        <v>38400</v>
      </c>
      <c r="Q60" s="6">
        <f t="shared" si="15"/>
        <v>38400</v>
      </c>
      <c r="R60" s="6">
        <f t="shared" si="15"/>
        <v>38400</v>
      </c>
      <c r="S60" s="6">
        <f t="shared" si="15"/>
        <v>19200</v>
      </c>
    </row>
    <row r="61" spans="2:19" s="25" customFormat="1" ht="13.5" x14ac:dyDescent="0.2">
      <c r="B61" s="7" t="s">
        <v>325</v>
      </c>
      <c r="C61" s="8" t="s">
        <v>303</v>
      </c>
      <c r="D61" s="8" t="s">
        <v>78</v>
      </c>
      <c r="E61" s="8" t="s">
        <v>55</v>
      </c>
      <c r="F61" s="16">
        <v>650000</v>
      </c>
      <c r="G61" s="7"/>
      <c r="H61" s="6">
        <f>F61</f>
        <v>650000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2" spans="2:19" s="25" customFormat="1" ht="13.5" x14ac:dyDescent="0.2">
      <c r="B62" s="7" t="s">
        <v>326</v>
      </c>
      <c r="C62" s="8" t="s">
        <v>304</v>
      </c>
      <c r="D62" s="8" t="s">
        <v>13</v>
      </c>
      <c r="E62" s="8" t="s">
        <v>345</v>
      </c>
      <c r="F62" s="16">
        <f>20*12.5+200</f>
        <v>450</v>
      </c>
      <c r="G62" s="7" t="s">
        <v>350</v>
      </c>
      <c r="H62" s="6">
        <f>$F62*H$38</f>
        <v>2700</v>
      </c>
      <c r="I62" s="6">
        <f t="shared" ref="I62:S64" si="16">$F62*I$38</f>
        <v>5400</v>
      </c>
      <c r="J62" s="6">
        <f t="shared" si="16"/>
        <v>5400</v>
      </c>
      <c r="K62" s="6">
        <f t="shared" si="16"/>
        <v>5400</v>
      </c>
      <c r="L62" s="6">
        <f t="shared" si="16"/>
        <v>5400</v>
      </c>
      <c r="M62" s="6">
        <f t="shared" si="16"/>
        <v>5400</v>
      </c>
      <c r="N62" s="6">
        <f t="shared" si="16"/>
        <v>5400</v>
      </c>
      <c r="O62" s="6">
        <f t="shared" si="16"/>
        <v>5400</v>
      </c>
      <c r="P62" s="6">
        <f t="shared" si="16"/>
        <v>5400</v>
      </c>
      <c r="Q62" s="6">
        <f t="shared" si="16"/>
        <v>5400</v>
      </c>
      <c r="R62" s="6">
        <f t="shared" si="16"/>
        <v>5400</v>
      </c>
      <c r="S62" s="6">
        <f t="shared" si="16"/>
        <v>2700</v>
      </c>
    </row>
    <row r="63" spans="2:19" s="25" customFormat="1" ht="27" x14ac:dyDescent="0.2">
      <c r="B63" s="7" t="s">
        <v>327</v>
      </c>
      <c r="C63" s="8" t="s">
        <v>305</v>
      </c>
      <c r="D63" s="8" t="s">
        <v>13</v>
      </c>
      <c r="E63" s="8" t="s">
        <v>346</v>
      </c>
      <c r="F63" s="16">
        <v>400</v>
      </c>
      <c r="G63" s="7" t="s">
        <v>350</v>
      </c>
      <c r="H63" s="6">
        <f t="shared" ref="H63:H64" si="17">$F63*H$38</f>
        <v>2400</v>
      </c>
      <c r="I63" s="6">
        <f t="shared" si="16"/>
        <v>4800</v>
      </c>
      <c r="J63" s="6">
        <f t="shared" si="16"/>
        <v>4800</v>
      </c>
      <c r="K63" s="6">
        <f t="shared" si="16"/>
        <v>4800</v>
      </c>
      <c r="L63" s="6">
        <f t="shared" si="16"/>
        <v>4800</v>
      </c>
      <c r="M63" s="6">
        <f t="shared" si="16"/>
        <v>4800</v>
      </c>
      <c r="N63" s="6">
        <f t="shared" si="16"/>
        <v>4800</v>
      </c>
      <c r="O63" s="6">
        <f t="shared" si="16"/>
        <v>4800</v>
      </c>
      <c r="P63" s="6">
        <f t="shared" si="16"/>
        <v>4800</v>
      </c>
      <c r="Q63" s="6">
        <f t="shared" si="16"/>
        <v>4800</v>
      </c>
      <c r="R63" s="6">
        <f t="shared" si="16"/>
        <v>4800</v>
      </c>
      <c r="S63" s="6">
        <f t="shared" si="16"/>
        <v>2400</v>
      </c>
    </row>
    <row r="64" spans="2:19" s="25" customFormat="1" ht="13.5" x14ac:dyDescent="0.2">
      <c r="B64" s="7" t="s">
        <v>328</v>
      </c>
      <c r="C64" s="8" t="s">
        <v>306</v>
      </c>
      <c r="D64" s="8" t="s">
        <v>13</v>
      </c>
      <c r="E64" s="8" t="s">
        <v>55</v>
      </c>
      <c r="F64" s="16">
        <f>ROUND(4%*F61/12,-2)</f>
        <v>2200</v>
      </c>
      <c r="G64" s="7" t="s">
        <v>350</v>
      </c>
      <c r="H64" s="6">
        <f t="shared" si="17"/>
        <v>13200</v>
      </c>
      <c r="I64" s="6">
        <f t="shared" si="16"/>
        <v>26400</v>
      </c>
      <c r="J64" s="6">
        <f t="shared" si="16"/>
        <v>26400</v>
      </c>
      <c r="K64" s="6">
        <f t="shared" si="16"/>
        <v>26400</v>
      </c>
      <c r="L64" s="6">
        <f t="shared" si="16"/>
        <v>26400</v>
      </c>
      <c r="M64" s="6">
        <f t="shared" si="16"/>
        <v>26400</v>
      </c>
      <c r="N64" s="6">
        <f t="shared" si="16"/>
        <v>26400</v>
      </c>
      <c r="O64" s="6">
        <f t="shared" si="16"/>
        <v>26400</v>
      </c>
      <c r="P64" s="6">
        <f t="shared" si="16"/>
        <v>26400</v>
      </c>
      <c r="Q64" s="6">
        <f t="shared" si="16"/>
        <v>26400</v>
      </c>
      <c r="R64" s="6">
        <f t="shared" si="16"/>
        <v>26400</v>
      </c>
      <c r="S64" s="6">
        <f t="shared" si="16"/>
        <v>13200</v>
      </c>
    </row>
    <row r="65" spans="2:19" s="25" customFormat="1" ht="13.5" x14ac:dyDescent="0.2">
      <c r="B65" s="7" t="s">
        <v>329</v>
      </c>
      <c r="C65" s="8" t="s">
        <v>307</v>
      </c>
      <c r="D65" s="8" t="s">
        <v>78</v>
      </c>
      <c r="E65" s="8" t="s">
        <v>55</v>
      </c>
      <c r="F65" s="16">
        <f>1%*F61</f>
        <v>6500</v>
      </c>
      <c r="G65" s="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>
        <f>F65</f>
        <v>6500</v>
      </c>
    </row>
    <row r="66" spans="2:19" s="25" customFormat="1" ht="27" x14ac:dyDescent="0.2">
      <c r="B66" s="7" t="s">
        <v>330</v>
      </c>
      <c r="C66" s="8" t="s">
        <v>509</v>
      </c>
      <c r="D66" s="8" t="s">
        <v>13</v>
      </c>
      <c r="E66" s="8" t="s">
        <v>346</v>
      </c>
      <c r="F66" s="16">
        <f>34*150</f>
        <v>5100</v>
      </c>
      <c r="G66" s="7" t="s">
        <v>350</v>
      </c>
      <c r="H66" s="6">
        <f t="shared" ref="H66" si="18">$F66*H$38</f>
        <v>30600</v>
      </c>
      <c r="I66" s="6">
        <f t="shared" ref="I66:S66" si="19">$F66*I$38</f>
        <v>61200</v>
      </c>
      <c r="J66" s="6">
        <f t="shared" si="19"/>
        <v>61200</v>
      </c>
      <c r="K66" s="6">
        <f t="shared" si="19"/>
        <v>61200</v>
      </c>
      <c r="L66" s="6">
        <f t="shared" si="19"/>
        <v>61200</v>
      </c>
      <c r="M66" s="6">
        <f t="shared" si="19"/>
        <v>61200</v>
      </c>
      <c r="N66" s="6">
        <f t="shared" si="19"/>
        <v>61200</v>
      </c>
      <c r="O66" s="6">
        <f t="shared" si="19"/>
        <v>61200</v>
      </c>
      <c r="P66" s="6">
        <f t="shared" si="19"/>
        <v>61200</v>
      </c>
      <c r="Q66" s="6">
        <f t="shared" si="19"/>
        <v>61200</v>
      </c>
      <c r="R66" s="6">
        <f t="shared" si="19"/>
        <v>61200</v>
      </c>
      <c r="S66" s="6">
        <f t="shared" si="19"/>
        <v>30600</v>
      </c>
    </row>
    <row r="67" spans="2:19" s="25" customFormat="1" ht="27" x14ac:dyDescent="0.2">
      <c r="B67" s="7" t="s">
        <v>331</v>
      </c>
      <c r="C67" s="8" t="s">
        <v>347</v>
      </c>
      <c r="D67" s="8" t="s">
        <v>78</v>
      </c>
      <c r="E67" s="8" t="s">
        <v>55</v>
      </c>
      <c r="F67" s="16">
        <v>1200000</v>
      </c>
      <c r="G67" s="7"/>
      <c r="H67" s="6">
        <f>F67</f>
        <v>1200000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2:19" s="25" customFormat="1" ht="27" x14ac:dyDescent="0.2">
      <c r="B68" s="7" t="s">
        <v>332</v>
      </c>
      <c r="C68" s="8" t="s">
        <v>308</v>
      </c>
      <c r="D68" s="8" t="s">
        <v>13</v>
      </c>
      <c r="E68" s="8" t="s">
        <v>160</v>
      </c>
      <c r="F68" s="16">
        <f>48*12.5+500</f>
        <v>1100</v>
      </c>
      <c r="G68" s="7" t="s">
        <v>350</v>
      </c>
      <c r="H68" s="6">
        <f t="shared" ref="H68:S70" si="20">$F68*H$38</f>
        <v>6600</v>
      </c>
      <c r="I68" s="6">
        <f t="shared" si="20"/>
        <v>13200</v>
      </c>
      <c r="J68" s="6">
        <f t="shared" si="20"/>
        <v>13200</v>
      </c>
      <c r="K68" s="6">
        <f t="shared" si="20"/>
        <v>13200</v>
      </c>
      <c r="L68" s="6">
        <f t="shared" si="20"/>
        <v>13200</v>
      </c>
      <c r="M68" s="6">
        <f t="shared" si="20"/>
        <v>13200</v>
      </c>
      <c r="N68" s="6">
        <f t="shared" si="20"/>
        <v>13200</v>
      </c>
      <c r="O68" s="6">
        <f t="shared" si="20"/>
        <v>13200</v>
      </c>
      <c r="P68" s="6">
        <f t="shared" si="20"/>
        <v>13200</v>
      </c>
      <c r="Q68" s="6">
        <f t="shared" si="20"/>
        <v>13200</v>
      </c>
      <c r="R68" s="6">
        <f t="shared" si="20"/>
        <v>13200</v>
      </c>
      <c r="S68" s="6">
        <f t="shared" si="20"/>
        <v>6600</v>
      </c>
    </row>
    <row r="69" spans="2:19" s="25" customFormat="1" ht="27" x14ac:dyDescent="0.2">
      <c r="B69" s="7" t="s">
        <v>333</v>
      </c>
      <c r="C69" s="8" t="s">
        <v>309</v>
      </c>
      <c r="D69" s="8" t="s">
        <v>13</v>
      </c>
      <c r="E69" s="8" t="s">
        <v>340</v>
      </c>
      <c r="F69" s="16">
        <v>800</v>
      </c>
      <c r="G69" s="7" t="s">
        <v>350</v>
      </c>
      <c r="H69" s="6">
        <f t="shared" si="20"/>
        <v>4800</v>
      </c>
      <c r="I69" s="6">
        <f t="shared" si="20"/>
        <v>9600</v>
      </c>
      <c r="J69" s="6">
        <f t="shared" si="20"/>
        <v>9600</v>
      </c>
      <c r="K69" s="6">
        <f t="shared" si="20"/>
        <v>9600</v>
      </c>
      <c r="L69" s="6">
        <f t="shared" si="20"/>
        <v>9600</v>
      </c>
      <c r="M69" s="6">
        <f t="shared" si="20"/>
        <v>9600</v>
      </c>
      <c r="N69" s="6">
        <f t="shared" si="20"/>
        <v>9600</v>
      </c>
      <c r="O69" s="6">
        <f t="shared" si="20"/>
        <v>9600</v>
      </c>
      <c r="P69" s="6">
        <f t="shared" si="20"/>
        <v>9600</v>
      </c>
      <c r="Q69" s="6">
        <f t="shared" si="20"/>
        <v>9600</v>
      </c>
      <c r="R69" s="6">
        <f t="shared" si="20"/>
        <v>9600</v>
      </c>
      <c r="S69" s="6">
        <f t="shared" si="20"/>
        <v>4800</v>
      </c>
    </row>
    <row r="70" spans="2:19" s="25" customFormat="1" ht="13.5" x14ac:dyDescent="0.2">
      <c r="B70" s="7" t="s">
        <v>334</v>
      </c>
      <c r="C70" s="8" t="s">
        <v>310</v>
      </c>
      <c r="D70" s="8" t="s">
        <v>13</v>
      </c>
      <c r="E70" s="8" t="s">
        <v>55</v>
      </c>
      <c r="F70" s="16">
        <f>ROUND(4%*F67/12,-2)</f>
        <v>4000</v>
      </c>
      <c r="G70" s="7" t="s">
        <v>350</v>
      </c>
      <c r="H70" s="6">
        <f t="shared" si="20"/>
        <v>24000</v>
      </c>
      <c r="I70" s="6">
        <f t="shared" si="20"/>
        <v>48000</v>
      </c>
      <c r="J70" s="6">
        <f t="shared" si="20"/>
        <v>48000</v>
      </c>
      <c r="K70" s="6">
        <f t="shared" si="20"/>
        <v>48000</v>
      </c>
      <c r="L70" s="6">
        <f t="shared" si="20"/>
        <v>48000</v>
      </c>
      <c r="M70" s="6">
        <f t="shared" si="20"/>
        <v>48000</v>
      </c>
      <c r="N70" s="6">
        <f t="shared" si="20"/>
        <v>48000</v>
      </c>
      <c r="O70" s="6">
        <f t="shared" si="20"/>
        <v>48000</v>
      </c>
      <c r="P70" s="6">
        <f t="shared" si="20"/>
        <v>48000</v>
      </c>
      <c r="Q70" s="6">
        <f t="shared" si="20"/>
        <v>48000</v>
      </c>
      <c r="R70" s="6">
        <f t="shared" si="20"/>
        <v>48000</v>
      </c>
      <c r="S70" s="6">
        <f t="shared" si="20"/>
        <v>24000</v>
      </c>
    </row>
    <row r="71" spans="2:19" s="25" customFormat="1" ht="13.5" x14ac:dyDescent="0.2">
      <c r="B71" s="7" t="s">
        <v>335</v>
      </c>
      <c r="C71" s="8" t="s">
        <v>311</v>
      </c>
      <c r="D71" s="8" t="s">
        <v>78</v>
      </c>
      <c r="E71" s="8" t="s">
        <v>55</v>
      </c>
      <c r="F71" s="16">
        <f>1%*F67</f>
        <v>12000</v>
      </c>
      <c r="G71" s="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>
        <f>F71</f>
        <v>12000</v>
      </c>
    </row>
    <row r="72" spans="2:19" s="33" customFormat="1" ht="13.5" x14ac:dyDescent="0.2">
      <c r="B72" s="31"/>
      <c r="C72" s="31"/>
      <c r="D72" s="31"/>
      <c r="E72" s="31"/>
      <c r="F72" s="31"/>
      <c r="G72" s="31"/>
      <c r="H72" s="32">
        <f t="shared" ref="H72:S72" si="21">SUM(H48:H71)</f>
        <v>15142255.28665</v>
      </c>
      <c r="I72" s="32">
        <f t="shared" si="21"/>
        <v>3885326.5350079997</v>
      </c>
      <c r="J72" s="32">
        <f t="shared" si="21"/>
        <v>3891814.2857081601</v>
      </c>
      <c r="K72" s="32">
        <f t="shared" si="21"/>
        <v>3969690.7914223233</v>
      </c>
      <c r="L72" s="32">
        <f t="shared" si="21"/>
        <v>4093629.8272507694</v>
      </c>
      <c r="M72" s="32">
        <f t="shared" si="21"/>
        <v>4108405.6437957846</v>
      </c>
      <c r="N72" s="32">
        <f t="shared" si="21"/>
        <v>4164642.9766717004</v>
      </c>
      <c r="O72" s="32">
        <f t="shared" si="21"/>
        <v>4337217.0562051348</v>
      </c>
      <c r="P72" s="32">
        <f t="shared" si="21"/>
        <v>4311003.6173292371</v>
      </c>
      <c r="Q72" s="32">
        <f t="shared" si="21"/>
        <v>4393078.9096758217</v>
      </c>
      <c r="R72" s="32">
        <f t="shared" si="21"/>
        <v>4407519.7078693388</v>
      </c>
      <c r="S72" s="32">
        <f t="shared" si="21"/>
        <v>2061957.1610133625</v>
      </c>
    </row>
    <row r="73" spans="2:19" ht="13.5" x14ac:dyDescent="0.2">
      <c r="B73" s="4"/>
      <c r="C73" s="5" t="s">
        <v>410</v>
      </c>
      <c r="D73" s="5" t="s">
        <v>411</v>
      </c>
      <c r="E73" s="5"/>
      <c r="F73" s="62">
        <v>0.04</v>
      </c>
      <c r="G73" s="4"/>
      <c r="H73" s="32">
        <f t="shared" ref="H73:S73" si="22">H72/((1+$F73)^(H47-2020))</f>
        <v>13999866.204373149</v>
      </c>
      <c r="I73" s="32">
        <f t="shared" si="22"/>
        <v>3454041.1418695943</v>
      </c>
      <c r="J73" s="32">
        <f t="shared" si="22"/>
        <v>3326739.1621326935</v>
      </c>
      <c r="K73" s="32">
        <f t="shared" si="22"/>
        <v>3262796.4669229905</v>
      </c>
      <c r="L73" s="32">
        <f t="shared" si="22"/>
        <v>3235255.1154384702</v>
      </c>
      <c r="M73" s="32">
        <f t="shared" si="22"/>
        <v>3122050.6325803073</v>
      </c>
      <c r="N73" s="32">
        <f t="shared" si="22"/>
        <v>3043063.8303843169</v>
      </c>
      <c r="O73" s="32">
        <f t="shared" si="22"/>
        <v>3047271.1730159908</v>
      </c>
      <c r="P73" s="32">
        <f t="shared" si="22"/>
        <v>2912359.5755460369</v>
      </c>
      <c r="Q73" s="32">
        <f t="shared" si="22"/>
        <v>2853660.2905781656</v>
      </c>
      <c r="R73" s="32">
        <f t="shared" si="22"/>
        <v>2752923.8055011798</v>
      </c>
      <c r="S73" s="32">
        <f t="shared" si="22"/>
        <v>1238358.0376244553</v>
      </c>
    </row>
    <row r="74" spans="2:19" ht="27" x14ac:dyDescent="0.2">
      <c r="H74" s="61" t="s">
        <v>378</v>
      </c>
    </row>
    <row r="75" spans="2:19" x14ac:dyDescent="0.2">
      <c r="H75" s="43">
        <f>H72-SUM(H76:H77)</f>
        <v>14471165.075184001</v>
      </c>
      <c r="I75" s="43" t="s">
        <v>375</v>
      </c>
    </row>
    <row r="76" spans="2:19" ht="18" thickBot="1" x14ac:dyDescent="0.25">
      <c r="B76" s="80" t="s">
        <v>268</v>
      </c>
      <c r="C76" s="80"/>
      <c r="D76" s="80"/>
      <c r="E76" s="80"/>
      <c r="F76" s="80"/>
      <c r="G76" s="80"/>
      <c r="H76" s="43">
        <f>4%*H72</f>
        <v>605690.21146600007</v>
      </c>
      <c r="I76" s="43" t="s">
        <v>376</v>
      </c>
    </row>
    <row r="77" spans="2:19" ht="13.5" thickTop="1" x14ac:dyDescent="0.2">
      <c r="H77" s="43">
        <f>SUM(H56,H64,H70)</f>
        <v>65400</v>
      </c>
      <c r="I77" s="43" t="s">
        <v>377</v>
      </c>
    </row>
    <row r="78" spans="2:19" ht="15.75" thickBot="1" x14ac:dyDescent="0.3">
      <c r="B78" s="81" t="s">
        <v>269</v>
      </c>
      <c r="C78" s="81"/>
      <c r="D78" s="81"/>
      <c r="E78" s="81"/>
      <c r="F78" s="81"/>
    </row>
    <row r="79" spans="2:19" x14ac:dyDescent="0.2">
      <c r="B79" s="83" t="s">
        <v>408</v>
      </c>
      <c r="C79" s="83"/>
      <c r="D79" s="83"/>
      <c r="I79" s="43">
        <f>I72</f>
        <v>3885326.5350079997</v>
      </c>
      <c r="J79" s="43">
        <f t="shared" ref="J79:S79" si="23">J72</f>
        <v>3891814.2857081601</v>
      </c>
      <c r="K79" s="43">
        <f t="shared" si="23"/>
        <v>3969690.7914223233</v>
      </c>
      <c r="L79" s="43">
        <f t="shared" si="23"/>
        <v>4093629.8272507694</v>
      </c>
      <c r="M79" s="43">
        <f t="shared" si="23"/>
        <v>4108405.6437957846</v>
      </c>
      <c r="N79" s="76">
        <f t="shared" si="23"/>
        <v>4164642.9766717004</v>
      </c>
      <c r="O79" s="76">
        <f t="shared" si="23"/>
        <v>4337217.0562051348</v>
      </c>
      <c r="P79" s="76">
        <f t="shared" si="23"/>
        <v>4311003.6173292371</v>
      </c>
      <c r="Q79" s="76">
        <f t="shared" si="23"/>
        <v>4393078.9096758217</v>
      </c>
      <c r="R79" s="76">
        <f t="shared" si="23"/>
        <v>4407519.7078693388</v>
      </c>
      <c r="S79" s="76">
        <f t="shared" si="23"/>
        <v>2061957.1610133625</v>
      </c>
    </row>
    <row r="80" spans="2:19" ht="40.5" x14ac:dyDescent="0.2">
      <c r="B80" s="3"/>
      <c r="C80" s="3" t="s">
        <v>409</v>
      </c>
      <c r="D80" s="3" t="s">
        <v>494</v>
      </c>
      <c r="E80" s="3" t="s">
        <v>270</v>
      </c>
      <c r="F80" s="3" t="s">
        <v>271</v>
      </c>
      <c r="G80" s="3" t="s">
        <v>272</v>
      </c>
    </row>
    <row r="81" spans="2:7" ht="27" x14ac:dyDescent="0.25">
      <c r="B81" s="35"/>
      <c r="C81" s="38" t="s">
        <v>355</v>
      </c>
      <c r="D81" s="36">
        <f>SUM(H26:S26)</f>
        <v>58072573.562083028</v>
      </c>
      <c r="E81" s="37">
        <f>D81/D$82</f>
        <v>1.2556670468526243</v>
      </c>
      <c r="F81" s="36">
        <f>H26</f>
        <v>11196944.735438237</v>
      </c>
      <c r="G81" s="36">
        <f>D81-F81</f>
        <v>46875628.826644793</v>
      </c>
    </row>
    <row r="82" spans="2:7" ht="27" x14ac:dyDescent="0.25">
      <c r="B82" s="35"/>
      <c r="C82" s="38" t="s">
        <v>354</v>
      </c>
      <c r="D82" s="36">
        <f>SUM(H73:S73)</f>
        <v>46248385.435967341</v>
      </c>
      <c r="E82" s="37">
        <f>D82/D$82</f>
        <v>1</v>
      </c>
      <c r="F82" s="36">
        <f>H73</f>
        <v>13999866.204373149</v>
      </c>
      <c r="G82" s="36">
        <f t="shared" ref="G82" si="24">D82-F82</f>
        <v>32248519.23159419</v>
      </c>
    </row>
  </sheetData>
  <mergeCells count="11">
    <mergeCell ref="E6:F6"/>
    <mergeCell ref="B2:G2"/>
    <mergeCell ref="B32:G32"/>
    <mergeCell ref="E36:F36"/>
    <mergeCell ref="B14:D14"/>
    <mergeCell ref="H14:K14"/>
    <mergeCell ref="B46:D46"/>
    <mergeCell ref="H46:K46"/>
    <mergeCell ref="B79:D79"/>
    <mergeCell ref="B76:G76"/>
    <mergeCell ref="B78:F7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S98"/>
  <sheetViews>
    <sheetView tabSelected="1" topLeftCell="C61" zoomScale="90" zoomScaleNormal="90" workbookViewId="0">
      <selection activeCell="E91" sqref="E91:K96"/>
    </sheetView>
  </sheetViews>
  <sheetFormatPr defaultRowHeight="12.75" x14ac:dyDescent="0.2"/>
  <cols>
    <col min="4" max="4" width="49.7109375" customWidth="1"/>
    <col min="5" max="6" width="11" bestFit="1" customWidth="1"/>
    <col min="7" max="7" width="14.42578125" customWidth="1"/>
    <col min="8" max="8" width="12" customWidth="1"/>
  </cols>
  <sheetData>
    <row r="4" spans="4:15" ht="20.25" thickBot="1" x14ac:dyDescent="0.35">
      <c r="D4" s="45" t="s">
        <v>403</v>
      </c>
      <c r="J4" s="60" t="s">
        <v>499</v>
      </c>
      <c r="K4" s="60"/>
      <c r="L4" s="60"/>
      <c r="M4" s="60"/>
      <c r="N4" s="60"/>
      <c r="O4" s="60"/>
    </row>
    <row r="5" spans="4:15" ht="13.5" thickTop="1" x14ac:dyDescent="0.2"/>
    <row r="9" spans="4:15" ht="24" x14ac:dyDescent="0.2">
      <c r="D9" s="49" t="s">
        <v>459</v>
      </c>
    </row>
    <row r="10" spans="4:15" ht="27" x14ac:dyDescent="0.2">
      <c r="D10" s="3" t="s">
        <v>417</v>
      </c>
      <c r="E10" s="3" t="s">
        <v>359</v>
      </c>
      <c r="F10" s="3" t="s">
        <v>360</v>
      </c>
      <c r="G10" s="3" t="s">
        <v>495</v>
      </c>
      <c r="H10" s="3"/>
    </row>
    <row r="11" spans="4:15" ht="13.5" x14ac:dyDescent="0.2">
      <c r="D11" s="38" t="s">
        <v>356</v>
      </c>
      <c r="E11" s="36">
        <f>'Zákaznícke služby'!D157</f>
        <v>152282763.84615088</v>
      </c>
      <c r="F11" s="36">
        <f>'Zákaznícke služby'!D158</f>
        <v>174920192.91057295</v>
      </c>
      <c r="G11" s="36">
        <f>'Zákaznícke služby'!$D159</f>
        <v>142672710.58134875</v>
      </c>
      <c r="H11" s="36"/>
    </row>
    <row r="12" spans="4:15" ht="13.5" x14ac:dyDescent="0.2">
      <c r="D12" s="38" t="s">
        <v>357</v>
      </c>
      <c r="E12" s="36">
        <f>'Palubné jednotky'!$D$94</f>
        <v>44042006.120387994</v>
      </c>
      <c r="F12" s="36">
        <f>'Palubné jednotky'!$D$95</f>
        <v>62048922.684488557</v>
      </c>
      <c r="G12" s="36">
        <f>'Palubné jednotky'!$D$96</f>
        <v>877939.2745778379</v>
      </c>
      <c r="H12" s="36"/>
    </row>
    <row r="13" spans="4:15" ht="13.5" x14ac:dyDescent="0.2">
      <c r="D13" s="38" t="s">
        <v>358</v>
      </c>
      <c r="E13" s="36">
        <f>'Agenda SVM'!$D81</f>
        <v>58072573.562083028</v>
      </c>
      <c r="F13" s="36">
        <f>'Agenda SVM'!$D82</f>
        <v>46248385.435967341</v>
      </c>
      <c r="G13" s="36"/>
      <c r="H13" s="36"/>
    </row>
    <row r="14" spans="4:15" ht="13.5" x14ac:dyDescent="0.2">
      <c r="D14" s="39" t="s">
        <v>58</v>
      </c>
      <c r="E14" s="40">
        <f>SUM(E11:E13)</f>
        <v>254397343.52862191</v>
      </c>
      <c r="F14" s="40">
        <f t="shared" ref="F14" si="0">SUM(F11:F13)</f>
        <v>283217501.03102887</v>
      </c>
      <c r="G14" s="40"/>
      <c r="H14" s="40"/>
    </row>
    <row r="15" spans="4:15" ht="27" x14ac:dyDescent="0.2">
      <c r="D15" s="3" t="s">
        <v>416</v>
      </c>
      <c r="E15" s="3" t="s">
        <v>359</v>
      </c>
      <c r="F15" s="3" t="s">
        <v>360</v>
      </c>
      <c r="G15" s="3" t="s">
        <v>495</v>
      </c>
      <c r="H15" s="3" t="s">
        <v>496</v>
      </c>
    </row>
    <row r="16" spans="4:15" ht="27" x14ac:dyDescent="0.2">
      <c r="D16" s="41" t="s">
        <v>363</v>
      </c>
      <c r="E16" s="36">
        <f>[6]Alternatívy!$E$15*1000</f>
        <v>1896515654.7022812</v>
      </c>
      <c r="F16" s="36">
        <f>[6]Alternatívy!$L$15*1000</f>
        <v>1950743189.841892</v>
      </c>
      <c r="G16" s="36">
        <f>[6]Alternatívy!$S$15*1000</f>
        <v>2170700009.3456163</v>
      </c>
      <c r="H16" s="36">
        <f>[6]Alternatívy!$Z$17*1000</f>
        <v>2275860358.5475507</v>
      </c>
    </row>
    <row r="17" spans="4:8" ht="27" x14ac:dyDescent="0.2">
      <c r="D17" s="41" t="s">
        <v>418</v>
      </c>
      <c r="E17" s="42">
        <f>E14/$E16</f>
        <v>0.13413933225273467</v>
      </c>
      <c r="F17" s="42">
        <f t="shared" ref="F17:H17" si="1">F14/$E16</f>
        <v>0.14933570431059209</v>
      </c>
      <c r="G17" s="42">
        <f t="shared" si="1"/>
        <v>0</v>
      </c>
      <c r="H17" s="42">
        <f t="shared" si="1"/>
        <v>0</v>
      </c>
    </row>
    <row r="18" spans="4:8" ht="24" x14ac:dyDescent="0.2">
      <c r="D18" s="49" t="s">
        <v>460</v>
      </c>
    </row>
    <row r="47" spans="4:12" ht="40.5" x14ac:dyDescent="0.2">
      <c r="D47" s="3" t="s">
        <v>364</v>
      </c>
      <c r="E47" s="3" t="s">
        <v>365</v>
      </c>
      <c r="F47" s="3" t="s">
        <v>366</v>
      </c>
      <c r="G47" s="3" t="s">
        <v>367</v>
      </c>
      <c r="H47" s="3" t="s">
        <v>368</v>
      </c>
      <c r="I47" s="3" t="s">
        <v>369</v>
      </c>
      <c r="J47" s="3" t="s">
        <v>370</v>
      </c>
      <c r="K47" s="3" t="s">
        <v>371</v>
      </c>
      <c r="L47" s="3" t="s">
        <v>372</v>
      </c>
    </row>
    <row r="48" spans="4:12" ht="13.5" x14ac:dyDescent="0.2">
      <c r="D48" s="38" t="s">
        <v>356</v>
      </c>
      <c r="E48" s="36">
        <f>'Zákaznícke služby'!F157</f>
        <v>2462066.951450571</v>
      </c>
      <c r="F48" s="36">
        <f>'Zákaznícke služby'!G157</f>
        <v>149820696.89470032</v>
      </c>
      <c r="G48" s="36">
        <f>'Zákaznícke služby'!F158</f>
        <v>6179454.6791789941</v>
      </c>
      <c r="H48" s="36">
        <f>'Zákaznícke služby'!G158</f>
        <v>168740738.23139396</v>
      </c>
      <c r="I48" s="36">
        <f>'Zákaznícke služby'!F159</f>
        <v>321918.48594674555</v>
      </c>
      <c r="J48" s="36">
        <f>'Zákaznícke služby'!G159</f>
        <v>142350792.095402</v>
      </c>
      <c r="K48" s="36">
        <f>I48</f>
        <v>321918.48594674555</v>
      </c>
      <c r="L48" s="36">
        <f>J48</f>
        <v>142350792.095402</v>
      </c>
    </row>
    <row r="49" spans="4:12" ht="13.5" x14ac:dyDescent="0.2">
      <c r="D49" s="38" t="s">
        <v>357</v>
      </c>
      <c r="E49" s="36">
        <f>'Palubné jednotky'!$F$94</f>
        <v>2043615.144230769</v>
      </c>
      <c r="F49" s="36">
        <f>'Palubné jednotky'!$G$94</f>
        <v>41998390.976157226</v>
      </c>
      <c r="G49" s="36">
        <f>'Palubné jednotky'!$F$95</f>
        <v>35849154.320358723</v>
      </c>
      <c r="H49" s="36">
        <f>'Palubné jednotky'!$G$95</f>
        <v>26199768.364129834</v>
      </c>
      <c r="I49" s="36">
        <f>'Palubné jednotky'!$F$96</f>
        <v>0</v>
      </c>
      <c r="J49" s="36">
        <f>'Palubné jednotky'!$G$96</f>
        <v>877939.2745778379</v>
      </c>
      <c r="K49" s="36">
        <f>I49</f>
        <v>0</v>
      </c>
      <c r="L49" s="36">
        <f>J49</f>
        <v>877939.2745778379</v>
      </c>
    </row>
    <row r="50" spans="4:12" ht="13.5" x14ac:dyDescent="0.2">
      <c r="D50" s="38" t="s">
        <v>358</v>
      </c>
      <c r="E50" s="36">
        <f>'Agenda SVM'!F81</f>
        <v>11196944.735438237</v>
      </c>
      <c r="F50" s="36">
        <f>'Agenda SVM'!G81</f>
        <v>46875628.826644793</v>
      </c>
      <c r="G50" s="36">
        <f>'Agenda SVM'!F82</f>
        <v>13999866.204373149</v>
      </c>
      <c r="H50" s="36">
        <f>'Agenda SVM'!G82</f>
        <v>32248519.23159419</v>
      </c>
      <c r="I50" s="36">
        <f>E50</f>
        <v>11196944.735438237</v>
      </c>
      <c r="J50" s="36">
        <f t="shared" ref="J50:L50" si="2">F50</f>
        <v>46875628.826644793</v>
      </c>
      <c r="K50" s="36">
        <f t="shared" si="2"/>
        <v>13999866.204373149</v>
      </c>
      <c r="L50" s="36">
        <f t="shared" si="2"/>
        <v>32248519.23159419</v>
      </c>
    </row>
    <row r="51" spans="4:12" ht="13.5" x14ac:dyDescent="0.2">
      <c r="D51" s="39" t="s">
        <v>58</v>
      </c>
      <c r="E51" s="40">
        <f>SUM(E48:E50)</f>
        <v>15702626.831119576</v>
      </c>
      <c r="F51" s="40">
        <f t="shared" ref="F51" si="3">SUM(F48:F50)</f>
        <v>238694716.69750232</v>
      </c>
      <c r="G51" s="40">
        <f t="shared" ref="G51" si="4">SUM(G48:G50)</f>
        <v>56028475.203910872</v>
      </c>
      <c r="H51" s="40">
        <f t="shared" ref="H51" si="5">SUM(H48:H50)</f>
        <v>227189025.82711798</v>
      </c>
      <c r="I51" s="40">
        <f>SUM(I48:I50)</f>
        <v>11518863.221384982</v>
      </c>
      <c r="J51" s="40">
        <f t="shared" ref="J51" si="6">SUM(J48:J50)</f>
        <v>190104360.19662464</v>
      </c>
      <c r="K51" s="40">
        <f t="shared" ref="K51" si="7">SUM(K48:K50)</f>
        <v>14321784.690319894</v>
      </c>
      <c r="L51" s="40">
        <f t="shared" ref="L51" si="8">SUM(L48:L50)</f>
        <v>175477250.601574</v>
      </c>
    </row>
    <row r="54" spans="4:12" ht="13.5" x14ac:dyDescent="0.2">
      <c r="D54" s="3" t="s">
        <v>364</v>
      </c>
      <c r="E54" s="3" t="s">
        <v>359</v>
      </c>
      <c r="F54" s="3" t="s">
        <v>360</v>
      </c>
      <c r="G54" s="3" t="s">
        <v>361</v>
      </c>
      <c r="H54" s="3" t="s">
        <v>362</v>
      </c>
    </row>
    <row r="55" spans="4:12" ht="13.5" x14ac:dyDescent="0.2">
      <c r="D55" s="38" t="s">
        <v>373</v>
      </c>
      <c r="E55" s="36">
        <f>E51</f>
        <v>15702626.831119576</v>
      </c>
      <c r="F55" s="36">
        <f>G51</f>
        <v>56028475.203910872</v>
      </c>
      <c r="G55" s="36">
        <f>I51</f>
        <v>11518863.221384982</v>
      </c>
      <c r="H55" s="36">
        <f>K51</f>
        <v>14321784.690319894</v>
      </c>
    </row>
    <row r="56" spans="4:12" ht="13.5" x14ac:dyDescent="0.2">
      <c r="D56" s="38" t="s">
        <v>374</v>
      </c>
      <c r="E56" s="36">
        <f>F51</f>
        <v>238694716.69750232</v>
      </c>
      <c r="F56" s="36">
        <f>H51</f>
        <v>227189025.82711798</v>
      </c>
      <c r="G56" s="36">
        <f>J51</f>
        <v>190104360.19662464</v>
      </c>
      <c r="H56" s="36">
        <f>L51</f>
        <v>175477250.601574</v>
      </c>
    </row>
    <row r="57" spans="4:12" ht="13.5" x14ac:dyDescent="0.2">
      <c r="D57" s="38" t="s">
        <v>373</v>
      </c>
      <c r="E57" s="42">
        <f>E55/SUM(E$55:E$56)</f>
        <v>6.1724806608890147E-2</v>
      </c>
      <c r="F57" s="42">
        <f t="shared" ref="F57:H57" si="9">F55/SUM(F$55:F$56)</f>
        <v>0.19782843574265024</v>
      </c>
      <c r="G57" s="42">
        <f t="shared" si="9"/>
        <v>5.7130637166254536E-2</v>
      </c>
      <c r="H57" s="42">
        <f t="shared" si="9"/>
        <v>7.545762636935574E-2</v>
      </c>
    </row>
    <row r="58" spans="4:12" ht="13.5" x14ac:dyDescent="0.2">
      <c r="D58" s="38" t="s">
        <v>374</v>
      </c>
      <c r="E58" s="42">
        <f>E56/SUM(E$55:E$56)</f>
        <v>0.93827519339110987</v>
      </c>
      <c r="F58" s="42">
        <f t="shared" ref="F58:H58" si="10">F56/SUM(F$55:F$56)</f>
        <v>0.8021715642573497</v>
      </c>
      <c r="G58" s="42">
        <f t="shared" si="10"/>
        <v>0.94286936283374556</v>
      </c>
      <c r="H58" s="42">
        <f t="shared" si="10"/>
        <v>0.92454237363064429</v>
      </c>
    </row>
    <row r="89" spans="4:19" x14ac:dyDescent="0.2">
      <c r="D89" s="49" t="s">
        <v>500</v>
      </c>
    </row>
    <row r="90" spans="4:19" x14ac:dyDescent="0.2">
      <c r="D90" s="50" t="s">
        <v>397</v>
      </c>
      <c r="E90" s="51">
        <v>2022</v>
      </c>
      <c r="F90" s="51">
        <v>2023</v>
      </c>
      <c r="G90" s="51">
        <v>2024</v>
      </c>
      <c r="H90" s="51">
        <v>2025</v>
      </c>
      <c r="I90" s="51">
        <v>2026</v>
      </c>
      <c r="J90" s="51">
        <v>2027</v>
      </c>
      <c r="K90" s="51" t="s">
        <v>58</v>
      </c>
      <c r="M90" s="77">
        <v>2028</v>
      </c>
      <c r="N90" s="77">
        <v>2029</v>
      </c>
      <c r="O90" s="77">
        <v>2030</v>
      </c>
      <c r="P90" s="77">
        <v>2031</v>
      </c>
      <c r="Q90" s="77">
        <v>2032</v>
      </c>
      <c r="R90" s="77">
        <v>2033</v>
      </c>
      <c r="S90" s="77" t="s">
        <v>58</v>
      </c>
    </row>
    <row r="91" spans="4:19" x14ac:dyDescent="0.2">
      <c r="D91" s="52" t="s">
        <v>373</v>
      </c>
      <c r="E91" s="53">
        <f>Vstupy_CBA!B9</f>
        <v>20015601.041338939</v>
      </c>
      <c r="F91" s="54"/>
      <c r="G91" s="53"/>
      <c r="H91" s="53"/>
      <c r="I91" s="53"/>
      <c r="J91" s="53"/>
      <c r="K91" s="55">
        <f>SUM(E91:J91)</f>
        <v>20015601.041338939</v>
      </c>
      <c r="M91" s="53"/>
      <c r="N91" s="53"/>
      <c r="O91" s="54"/>
      <c r="P91" s="53"/>
      <c r="Q91" s="53"/>
      <c r="R91" s="53"/>
      <c r="S91" s="55">
        <f>SUM(E91:J91,M91:R91)</f>
        <v>20015601.041338939</v>
      </c>
    </row>
    <row r="92" spans="4:19" x14ac:dyDescent="0.2">
      <c r="D92" s="52" t="s">
        <v>401</v>
      </c>
      <c r="E92" s="53">
        <f>Vstupy_CBA!B10</f>
        <v>9125084.513978634</v>
      </c>
      <c r="F92" s="53">
        <f>Vstupy_CBA!C24</f>
        <v>767488.86232778768</v>
      </c>
      <c r="G92" s="53">
        <f>Vstupy_CBA!D24</f>
        <v>767488.86232778768</v>
      </c>
      <c r="H92" s="53">
        <f>Vstupy_CBA!E24</f>
        <v>767488.86232778768</v>
      </c>
      <c r="I92" s="53">
        <f>Vstupy_CBA!F24</f>
        <v>767488.86232778768</v>
      </c>
      <c r="J92" s="53">
        <f>Vstupy_CBA!G24</f>
        <v>767488.86232778768</v>
      </c>
      <c r="K92" s="55">
        <f t="shared" ref="K92:K95" si="11">SUM(E92:J92)</f>
        <v>12962528.825617574</v>
      </c>
      <c r="M92" s="53">
        <f>Vstupy_CBA!H24</f>
        <v>0</v>
      </c>
      <c r="N92" s="53">
        <f>Vstupy_CBA!I24</f>
        <v>0</v>
      </c>
      <c r="O92" s="53">
        <f>Vstupy_CBA!J24</f>
        <v>0</v>
      </c>
      <c r="P92" s="53">
        <f>Vstupy_CBA!K24</f>
        <v>0</v>
      </c>
      <c r="Q92" s="53">
        <f>Vstupy_CBA!L24</f>
        <v>0</v>
      </c>
      <c r="R92" s="53">
        <f>Vstupy_CBA!M24</f>
        <v>0</v>
      </c>
      <c r="S92" s="55">
        <f t="shared" ref="S92:S95" si="12">SUM(E92:J92,M92:R92)</f>
        <v>12962528.825617574</v>
      </c>
    </row>
    <row r="93" spans="4:19" x14ac:dyDescent="0.2">
      <c r="D93" s="52" t="s">
        <v>398</v>
      </c>
      <c r="E93" s="53"/>
      <c r="F93" s="53">
        <f>'Zákaznícke služby'!I44</f>
        <v>18594417.332084645</v>
      </c>
      <c r="G93" s="53">
        <f>'Zákaznícke služby'!J44</f>
        <v>18890784.520227283</v>
      </c>
      <c r="H93" s="53">
        <f>'Zákaznícke služby'!K44</f>
        <v>19198172.336796317</v>
      </c>
      <c r="I93" s="53">
        <f>'Zákaznícke služby'!L44</f>
        <v>19593052.779030498</v>
      </c>
      <c r="J93" s="53">
        <f>'Zákaznícke služby'!M44</f>
        <v>19866433.125365242</v>
      </c>
      <c r="K93" s="55">
        <f t="shared" si="11"/>
        <v>96142860.093503982</v>
      </c>
      <c r="M93" s="53">
        <f>'Zákaznícke služby'!N44</f>
        <v>20161147.503820769</v>
      </c>
      <c r="N93" s="53">
        <f>'Zákaznícke služby'!O44</f>
        <v>20526809.400923207</v>
      </c>
      <c r="O93" s="53">
        <f>'Zákaznícke služby'!P44</f>
        <v>20763847.949987758</v>
      </c>
      <c r="P93" s="53">
        <f>'Zákaznícke služby'!Q44</f>
        <v>20995410.337759443</v>
      </c>
      <c r="Q93" s="53">
        <f>'Zákaznícke služby'!R44</f>
        <v>21123207.095504239</v>
      </c>
      <c r="R93" s="53">
        <f>'Zákaznícke služby'!S44</f>
        <v>1280336.9790743685</v>
      </c>
      <c r="S93" s="55">
        <f t="shared" si="12"/>
        <v>200993619.36057377</v>
      </c>
    </row>
    <row r="94" spans="4:19" x14ac:dyDescent="0.2">
      <c r="D94" s="52" t="s">
        <v>399</v>
      </c>
      <c r="E94" s="53"/>
      <c r="F94" s="53">
        <f>SUM('Palubné jednotky'!I22)</f>
        <v>8406806.4912</v>
      </c>
      <c r="G94" s="53">
        <f>SUM('Palubné jednotky'!J22)</f>
        <v>7972158.6210239995</v>
      </c>
      <c r="H94" s="53">
        <f>SUM('Palubné jednotky'!K22)</f>
        <v>7100753.7934444798</v>
      </c>
      <c r="I94" s="53">
        <f>SUM('Palubné jednotky'!L22)</f>
        <v>6229392.8693133695</v>
      </c>
      <c r="J94" s="53">
        <f>SUM('Palubné jednotky'!M22)</f>
        <v>5358076.7266996372</v>
      </c>
      <c r="K94" s="55">
        <f t="shared" si="11"/>
        <v>35067188.501681484</v>
      </c>
      <c r="M94" s="53">
        <f>SUM('Palubné jednotky'!N22)</f>
        <v>4486806.2612336297</v>
      </c>
      <c r="N94" s="53">
        <f>SUM('Palubné jednotky'!O22)</f>
        <v>4052382.3864583024</v>
      </c>
      <c r="O94" s="53">
        <f>SUM('Palubné jednotky'!P22)</f>
        <v>3618006.0341874682</v>
      </c>
      <c r="P94" s="53">
        <f>SUM('Palubné jednotky'!Q22)</f>
        <v>3402078.1548712179</v>
      </c>
      <c r="Q94" s="53">
        <f>SUM('Palubné jednotky'!R22)</f>
        <v>3360919.7179686422</v>
      </c>
      <c r="R94" s="53">
        <f>SUM('Palubné jednotky'!S22)</f>
        <v>0</v>
      </c>
      <c r="S94" s="55">
        <f t="shared" si="12"/>
        <v>53987381.056400739</v>
      </c>
    </row>
    <row r="95" spans="4:19" x14ac:dyDescent="0.2">
      <c r="D95" s="52" t="s">
        <v>400</v>
      </c>
      <c r="E95" s="54"/>
      <c r="F95" s="53">
        <f>'Agenda SVM'!I72</f>
        <v>3885326.5350079997</v>
      </c>
      <c r="G95" s="53">
        <f>'Agenda SVM'!J72</f>
        <v>3891814.2857081601</v>
      </c>
      <c r="H95" s="53">
        <f>'Agenda SVM'!K72</f>
        <v>3969690.7914223233</v>
      </c>
      <c r="I95" s="53">
        <f>'Agenda SVM'!L72</f>
        <v>4093629.8272507694</v>
      </c>
      <c r="J95" s="53">
        <f>'Agenda SVM'!M72</f>
        <v>4108405.6437957846</v>
      </c>
      <c r="K95" s="55">
        <f t="shared" si="11"/>
        <v>19948867.083185039</v>
      </c>
      <c r="M95" s="53">
        <f>'Agenda SVM'!N72</f>
        <v>4164642.9766717004</v>
      </c>
      <c r="N95" s="53">
        <f>'Agenda SVM'!O72</f>
        <v>4337217.0562051348</v>
      </c>
      <c r="O95" s="53">
        <f>'Agenda SVM'!P72</f>
        <v>4311003.6173292371</v>
      </c>
      <c r="P95" s="53">
        <f>'Agenda SVM'!Q72</f>
        <v>4393078.9096758217</v>
      </c>
      <c r="Q95" s="53">
        <f>'Agenda SVM'!R72</f>
        <v>4407519.7078693388</v>
      </c>
      <c r="R95" s="53">
        <f>'Agenda SVM'!S72</f>
        <v>2061957.1610133625</v>
      </c>
      <c r="S95" s="55">
        <f t="shared" si="12"/>
        <v>43624286.511949629</v>
      </c>
    </row>
    <row r="96" spans="4:19" x14ac:dyDescent="0.2">
      <c r="D96" s="56" t="s">
        <v>402</v>
      </c>
      <c r="E96" s="57">
        <f>SUM(E91:E95)</f>
        <v>29140685.555317573</v>
      </c>
      <c r="F96" s="57">
        <f t="shared" ref="F96:J96" si="13">SUM(F91:F95)</f>
        <v>31654039.220620431</v>
      </c>
      <c r="G96" s="57">
        <f t="shared" si="13"/>
        <v>31522246.289287232</v>
      </c>
      <c r="H96" s="57">
        <f t="shared" si="13"/>
        <v>31036105.783990908</v>
      </c>
      <c r="I96" s="57">
        <f t="shared" si="13"/>
        <v>30683564.337922424</v>
      </c>
      <c r="J96" s="57">
        <f t="shared" si="13"/>
        <v>30100404.358188454</v>
      </c>
      <c r="K96" s="57">
        <f>SUM(K91:K95)</f>
        <v>184137045.54532704</v>
      </c>
      <c r="M96" s="78">
        <f t="shared" ref="M96:S96" si="14">SUM(M91:M95)</f>
        <v>28812596.741726097</v>
      </c>
      <c r="N96" s="78">
        <f t="shared" si="14"/>
        <v>28916408.843586646</v>
      </c>
      <c r="O96" s="78">
        <f t="shared" si="14"/>
        <v>28692857.601504464</v>
      </c>
      <c r="P96" s="78">
        <f t="shared" si="14"/>
        <v>28790567.402306482</v>
      </c>
      <c r="Q96" s="78">
        <f t="shared" si="14"/>
        <v>28891646.521342222</v>
      </c>
      <c r="R96" s="78">
        <f t="shared" si="14"/>
        <v>3342294.1400877312</v>
      </c>
      <c r="S96" s="78">
        <f t="shared" si="14"/>
        <v>331583416.79588068</v>
      </c>
    </row>
    <row r="98" spans="7:7" x14ac:dyDescent="0.2">
      <c r="G98" s="48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B6" sqref="B6"/>
    </sheetView>
  </sheetViews>
  <sheetFormatPr defaultRowHeight="12.75" x14ac:dyDescent="0.2"/>
  <cols>
    <col min="1" max="1" width="28.85546875" customWidth="1"/>
    <col min="2" max="2" width="10.85546875" bestFit="1" customWidth="1"/>
  </cols>
  <sheetData>
    <row r="1" spans="1:12" ht="20.25" thickBot="1" x14ac:dyDescent="0.35">
      <c r="A1" s="45" t="s">
        <v>379</v>
      </c>
      <c r="G1" s="60" t="s">
        <v>499</v>
      </c>
      <c r="H1" s="60"/>
      <c r="I1" s="60"/>
      <c r="J1" s="60"/>
      <c r="K1" s="60"/>
      <c r="L1" s="60"/>
    </row>
    <row r="2" spans="1:12" ht="13.5" thickTop="1" x14ac:dyDescent="0.2"/>
    <row r="3" spans="1:12" ht="15.75" thickBot="1" x14ac:dyDescent="0.3">
      <c r="A3" s="23" t="s">
        <v>380</v>
      </c>
    </row>
    <row r="5" spans="1:12" ht="15" x14ac:dyDescent="0.25">
      <c r="A5" s="46" t="s">
        <v>382</v>
      </c>
      <c r="B5" s="7">
        <v>2022</v>
      </c>
    </row>
    <row r="6" spans="1:12" x14ac:dyDescent="0.2">
      <c r="A6" s="43" t="s">
        <v>375</v>
      </c>
      <c r="B6" s="43">
        <f>SUM('Zákaznícke služby'!H47,'Palubné jednotky'!H25,'Agenda SVM'!H75)</f>
        <v>14471165.075184001</v>
      </c>
      <c r="G6" s="15"/>
    </row>
    <row r="7" spans="1:12" x14ac:dyDescent="0.2">
      <c r="A7" s="43" t="s">
        <v>376</v>
      </c>
      <c r="B7" s="43">
        <f>SUM('Zákaznícke služby'!H48,'Palubné jednotky'!H26,'Agenda SVM'!H76)</f>
        <v>848438.42026600009</v>
      </c>
    </row>
    <row r="8" spans="1:12" x14ac:dyDescent="0.2">
      <c r="A8" s="43" t="s">
        <v>377</v>
      </c>
      <c r="B8" s="43">
        <f>SUM('Zákaznícke služby'!H49,'Palubné jednotky'!H27,'Agenda SVM'!H77)</f>
        <v>4695997.545888938</v>
      </c>
      <c r="G8" s="15"/>
    </row>
    <row r="9" spans="1:12" ht="26.25" customHeight="1" x14ac:dyDescent="0.2">
      <c r="A9" s="44" t="s">
        <v>381</v>
      </c>
      <c r="B9" s="6">
        <f>SUM(B6:B8)</f>
        <v>20015601.041338939</v>
      </c>
      <c r="G9" s="15"/>
    </row>
    <row r="10" spans="1:12" x14ac:dyDescent="0.2">
      <c r="A10" s="43" t="s">
        <v>394</v>
      </c>
      <c r="B10" s="43">
        <f>SUM(C15:C16)</f>
        <v>9125084.513978634</v>
      </c>
    </row>
    <row r="13" spans="1:12" x14ac:dyDescent="0.2">
      <c r="A13" s="47" t="s">
        <v>393</v>
      </c>
    </row>
    <row r="14" spans="1:12" ht="25.5" x14ac:dyDescent="0.2">
      <c r="A14" s="64" t="s">
        <v>383</v>
      </c>
      <c r="B14" s="64" t="s">
        <v>384</v>
      </c>
      <c r="C14" s="64" t="s">
        <v>385</v>
      </c>
    </row>
    <row r="15" spans="1:12" x14ac:dyDescent="0.2">
      <c r="A15" s="65" t="s">
        <v>386</v>
      </c>
      <c r="B15" s="66" t="s">
        <v>387</v>
      </c>
      <c r="C15" s="67">
        <f>[7]Sumarizácia!$D5</f>
        <v>6797964.3305981038</v>
      </c>
    </row>
    <row r="16" spans="1:12" ht="25.5" x14ac:dyDescent="0.2">
      <c r="A16" s="65" t="s">
        <v>388</v>
      </c>
      <c r="B16" s="66" t="s">
        <v>389</v>
      </c>
      <c r="C16" s="67">
        <f>[7]Sumarizácia!$D6</f>
        <v>2327120.1833805298</v>
      </c>
    </row>
    <row r="17" spans="1:13" x14ac:dyDescent="0.2">
      <c r="A17" s="65" t="s">
        <v>390</v>
      </c>
      <c r="B17" s="66" t="s">
        <v>391</v>
      </c>
      <c r="C17" s="67">
        <f>[7]Sumarizácia!$D7</f>
        <v>3837444.3116389383</v>
      </c>
    </row>
    <row r="18" spans="1:13" x14ac:dyDescent="0.2">
      <c r="C18" s="67"/>
    </row>
    <row r="19" spans="1:13" ht="13.5" x14ac:dyDescent="0.25">
      <c r="A19" s="68" t="s">
        <v>392</v>
      </c>
      <c r="B19" s="69"/>
      <c r="C19" s="70">
        <f>SUM(C15:C18)</f>
        <v>12962528.825617572</v>
      </c>
    </row>
    <row r="21" spans="1:13" ht="25.5" x14ac:dyDescent="0.2">
      <c r="A21" s="74" t="s">
        <v>497</v>
      </c>
      <c r="B21" s="75">
        <f>SUM(B9,'Zákaznícke služby'!I51:M51,'Palubné jednotky'!I29:M29,'Agenda SVM'!I79:M79)/5</f>
        <v>34234903.343941897</v>
      </c>
      <c r="C21" t="s">
        <v>498</v>
      </c>
    </row>
    <row r="22" spans="1:13" ht="15.75" thickBot="1" x14ac:dyDescent="0.3">
      <c r="A22" s="23" t="s">
        <v>396</v>
      </c>
    </row>
    <row r="23" spans="1:13" ht="15.75" thickBot="1" x14ac:dyDescent="0.3">
      <c r="A23" s="23"/>
      <c r="C23" s="7">
        <v>2023</v>
      </c>
      <c r="D23" s="7">
        <v>2024</v>
      </c>
      <c r="E23" s="7">
        <v>2025</v>
      </c>
      <c r="F23" s="7">
        <v>2026</v>
      </c>
      <c r="G23" s="7">
        <v>2027</v>
      </c>
      <c r="H23" s="7">
        <v>2028</v>
      </c>
      <c r="I23" s="7">
        <v>2029</v>
      </c>
      <c r="J23" s="7">
        <v>2030</v>
      </c>
      <c r="K23" s="7">
        <v>2031</v>
      </c>
      <c r="L23" s="7">
        <v>2032</v>
      </c>
      <c r="M23" s="7">
        <v>2033</v>
      </c>
    </row>
    <row r="24" spans="1:13" x14ac:dyDescent="0.2">
      <c r="A24" s="59" t="s">
        <v>394</v>
      </c>
      <c r="C24" s="58">
        <f>$C17/5</f>
        <v>767488.86232778768</v>
      </c>
      <c r="D24" s="58">
        <f t="shared" ref="D24:G24" si="0">$C17/5</f>
        <v>767488.86232778768</v>
      </c>
      <c r="E24" s="58">
        <f t="shared" si="0"/>
        <v>767488.86232778768</v>
      </c>
      <c r="F24" s="58">
        <f t="shared" si="0"/>
        <v>767488.86232778768</v>
      </c>
      <c r="G24" s="58">
        <f t="shared" si="0"/>
        <v>767488.86232778768</v>
      </c>
      <c r="H24" s="76">
        <f>$C18/10</f>
        <v>0</v>
      </c>
      <c r="I24" s="76">
        <f>$C18/10</f>
        <v>0</v>
      </c>
      <c r="J24" s="76">
        <f>$C18/10</f>
        <v>0</v>
      </c>
      <c r="K24" s="76">
        <f>$C18/10</f>
        <v>0</v>
      </c>
      <c r="L24" s="76">
        <f>$C18/10</f>
        <v>0</v>
      </c>
      <c r="M24" s="76"/>
    </row>
    <row r="25" spans="1:13" x14ac:dyDescent="0.2">
      <c r="A25" s="43" t="s">
        <v>395</v>
      </c>
      <c r="B25" s="2"/>
      <c r="C25" s="43">
        <f>SUM('Zákaznícke služby'!I51,'Palubné jednotky'!I29,'Agenda SVM'!I72,C24)</f>
        <v>31654039.220620431</v>
      </c>
      <c r="D25" s="43">
        <f>SUM('Zákaznícke služby'!J51,'Palubné jednotky'!J29,'Agenda SVM'!J72,D24)</f>
        <v>31522246.289287228</v>
      </c>
      <c r="E25" s="43">
        <f>SUM('Zákaznícke služby'!K51,'Palubné jednotky'!K29,'Agenda SVM'!K72,E24)</f>
        <v>31036105.783990908</v>
      </c>
      <c r="F25" s="43">
        <f>SUM('Zákaznícke služby'!L51,'Palubné jednotky'!L29,'Agenda SVM'!L72,F24)</f>
        <v>30683564.337922428</v>
      </c>
      <c r="G25" s="43">
        <f>SUM('Zákaznícke služby'!M51,'Palubné jednotky'!M29,'Agenda SVM'!M72,G24)</f>
        <v>30100404.35818845</v>
      </c>
      <c r="H25" s="76">
        <f>SUM('Zákaznícke služby'!N51,'Palubné jednotky'!N29,'Agenda SVM'!N72,H24)</f>
        <v>28812596.741726097</v>
      </c>
      <c r="I25" s="76">
        <f>SUM('Zákaznícke služby'!O51,'Palubné jednotky'!O29,'Agenda SVM'!O72,I24)</f>
        <v>28916408.843586646</v>
      </c>
      <c r="J25" s="76">
        <f>SUM('Zákaznícke služby'!P51,'Palubné jednotky'!P29,'Agenda SVM'!P72,J24)</f>
        <v>28692857.601504464</v>
      </c>
      <c r="K25" s="76">
        <f>SUM('Zákaznícke služby'!Q51,'Palubné jednotky'!Q29,'Agenda SVM'!Q72,K24)</f>
        <v>28790567.402306482</v>
      </c>
      <c r="L25" s="76">
        <f>SUM('Zákaznícke služby'!R51,'Palubné jednotky'!R29,'Agenda SVM'!R72,L24)</f>
        <v>28891646.521342222</v>
      </c>
      <c r="M25" s="76">
        <f>SUM('Zákaznícke služby'!S51,'Palubné jednotky'!S29,'Agenda SVM'!S72,M24)</f>
        <v>3342294.1400877312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49</vt:i4>
      </vt:variant>
    </vt:vector>
  </HeadingPairs>
  <TitlesOfParts>
    <vt:vector size="54" baseType="lpstr">
      <vt:lpstr>Zákaznícke služby</vt:lpstr>
      <vt:lpstr>Palubné jednotky</vt:lpstr>
      <vt:lpstr>Agenda SVM</vt:lpstr>
      <vt:lpstr>Vyhodnotenie</vt:lpstr>
      <vt:lpstr>Vstupy_CBA</vt:lpstr>
      <vt:lpstr>'Zákaznícke služby'!_Ref40180669</vt:lpstr>
      <vt:lpstr>'Zákaznícke služby'!_Ref40180689</vt:lpstr>
      <vt:lpstr>'Zákaznícke služby'!_Ref40180697</vt:lpstr>
      <vt:lpstr>'Zákaznícke služby'!_Ref40180719</vt:lpstr>
      <vt:lpstr>'Zákaznícke služby'!_Ref40180731</vt:lpstr>
      <vt:lpstr>'Zákaznícke služby'!_Ref40180739</vt:lpstr>
      <vt:lpstr>'Zákaznícke služby'!_Ref40180752</vt:lpstr>
      <vt:lpstr>'Zákaznícke služby'!_Ref40180764</vt:lpstr>
      <vt:lpstr>'Zákaznícke služby'!_Ref40180786</vt:lpstr>
      <vt:lpstr>'Zákaznícke služby'!_Ref40191079</vt:lpstr>
      <vt:lpstr>'Zákaznícke služby'!_Ref40191220</vt:lpstr>
      <vt:lpstr>'Zákaznícke služby'!_Ref40242477</vt:lpstr>
      <vt:lpstr>'Zákaznícke služby'!_Ref40242485</vt:lpstr>
      <vt:lpstr>'Zákaznícke služby'!_Ref40242499</vt:lpstr>
      <vt:lpstr>'Zákaznícke služby'!_Ref40242513</vt:lpstr>
      <vt:lpstr>'Zákaznícke služby'!_Ref40242521</vt:lpstr>
      <vt:lpstr>'Zákaznícke služby'!_Ref40242536</vt:lpstr>
      <vt:lpstr>'Zákaznícke služby'!_Ref40242545</vt:lpstr>
      <vt:lpstr>'Zákaznícke služby'!_Ref40242550</vt:lpstr>
      <vt:lpstr>'Zákaznícke služby'!_Ref40242561</vt:lpstr>
      <vt:lpstr>'Zákaznícke služby'!_Ref40242569</vt:lpstr>
      <vt:lpstr>'Zákaznícke služby'!_Ref40242603</vt:lpstr>
      <vt:lpstr>'Zákaznícke služby'!_Ref40242626</vt:lpstr>
      <vt:lpstr>'Zákaznícke služby'!_Ref40242646</vt:lpstr>
      <vt:lpstr>'Zákaznícke služby'!_Ref40242653</vt:lpstr>
      <vt:lpstr>'Zákaznícke služby'!_Ref40242659</vt:lpstr>
      <vt:lpstr>'Zákaznícke služby'!_Ref40242667</vt:lpstr>
      <vt:lpstr>'Zákaznícke služby'!_Ref40242694</vt:lpstr>
      <vt:lpstr>Vyhodnotenie!_Ref40872893</vt:lpstr>
      <vt:lpstr>Vyhodnotenie!_Toc40772948</vt:lpstr>
      <vt:lpstr>'Zákaznícke služby'!_Toc41042909</vt:lpstr>
      <vt:lpstr>'Zákaznícke služby'!_Toc41042910</vt:lpstr>
      <vt:lpstr>'Zákaznícke služby'!_Toc41042917</vt:lpstr>
      <vt:lpstr>'Zákaznícke služby'!_Toc41042918</vt:lpstr>
      <vt:lpstr>'Zákaznícke služby'!_Toc41042924</vt:lpstr>
      <vt:lpstr>'Zákaznícke služby'!_Toc41042925</vt:lpstr>
      <vt:lpstr>'Palubné jednotky'!_Toc41042932</vt:lpstr>
      <vt:lpstr>'Palubné jednotky'!_Toc41042933</vt:lpstr>
      <vt:lpstr>'Palubné jednotky'!_Toc41042939</vt:lpstr>
      <vt:lpstr>'Palubné jednotky'!_Toc41042940</vt:lpstr>
      <vt:lpstr>'Palubné jednotky'!_Toc41042946</vt:lpstr>
      <vt:lpstr>'Palubné jednotky'!_Toc41042947</vt:lpstr>
      <vt:lpstr>'Palubné jednotky'!_Toc41042949</vt:lpstr>
      <vt:lpstr>'Agenda SVM'!_Toc41042954</vt:lpstr>
      <vt:lpstr>'Agenda SVM'!_Toc41042955</vt:lpstr>
      <vt:lpstr>'Agenda SVM'!_Toc41042961</vt:lpstr>
      <vt:lpstr>'Agenda SVM'!_Toc41042962</vt:lpstr>
      <vt:lpstr>'Agenda SVM'!_Toc41042964</vt:lpstr>
      <vt:lpstr>Vyhodnotenie!_Toc43481343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2020-05-18T13:45:50Z</dcterms:created>
  <dcterms:modified xsi:type="dcterms:W3CDTF">2020-08-05T13:26:23Z</dcterms:modified>
</cp:coreProperties>
</file>